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13.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600" yWindow="240" windowWidth="5625" windowHeight="5280" tabRatio="858" firstSheet="1" activeTab="9"/>
  </bookViews>
  <sheets>
    <sheet name="Protocole" sheetId="5" r:id="rId1"/>
    <sheet name="Vam_Eval" sheetId="7" r:id="rId2"/>
    <sheet name="Programme" sheetId="1" r:id="rId3"/>
    <sheet name="données" sheetId="9" r:id="rId4"/>
    <sheet name="graphiques" sheetId="2" r:id="rId5"/>
    <sheet name="tableau_temps de passage" sheetId="10" r:id="rId6"/>
    <sheet name="Indice Endurance" sheetId="23" r:id="rId7"/>
    <sheet name="Coût Energétique" sheetId="24" r:id="rId8"/>
    <sheet name="Extrapolation et prédiction" sheetId="12" r:id="rId9"/>
    <sheet name="Physio" sheetId="13" r:id="rId10"/>
    <sheet name="ENTRAINEMENT" sheetId="20" r:id="rId11"/>
    <sheet name="Plan 10 km 3séances" sheetId="16" r:id="rId12"/>
    <sheet name="10km 4 séances" sheetId="17" r:id="rId13"/>
    <sheet name="10km 5 séances" sheetId="18" r:id="rId14"/>
    <sheet name="Semi marathon" sheetId="19" r:id="rId15"/>
    <sheet name="Plan marathon" sheetId="14" r:id="rId16"/>
    <sheet name="30-30" sheetId="21" r:id="rId17"/>
    <sheet name="Résultats10km" sheetId="22" r:id="rId18"/>
  </sheets>
  <definedNames>
    <definedName name="TABLE" localSheetId="13">'10km 5 séances'!#REF!</definedName>
    <definedName name="TABLE_2" localSheetId="13">'10km 5 séances'!#REF!</definedName>
    <definedName name="TABLE_3" localSheetId="13">'10km 5 séances'!#REF!</definedName>
    <definedName name="TABLE_4" localSheetId="13">'10km 5 séances'!#REF!</definedName>
    <definedName name="TABLE_5" localSheetId="13">'10km 5 séances'!#REF!</definedName>
    <definedName name="TABLE_6" localSheetId="13">'10km 5 séances'!$A$6:$E$17</definedName>
    <definedName name="TABLE_7" localSheetId="13">'10km 5 séances'!$G$6:$K$17</definedName>
    <definedName name="TABLE_8" localSheetId="13">'10km 5 séances'!$G$19:$K$30</definedName>
    <definedName name="TABLE_9" localSheetId="13">'10km 5 séances'!$A$21:$E$32</definedName>
  </definedNames>
  <calcPr calcId="125725"/>
</workbook>
</file>

<file path=xl/calcChain.xml><?xml version="1.0" encoding="utf-8"?>
<calcChain xmlns="http://schemas.openxmlformats.org/spreadsheetml/2006/main">
  <c r="C22" i="9"/>
  <c r="B12" i="24"/>
  <c r="B13" s="1"/>
  <c r="D6"/>
  <c r="C7"/>
  <c r="B9" s="1"/>
  <c r="J36" i="23"/>
  <c r="M47" s="1"/>
  <c r="M45"/>
  <c r="M36"/>
  <c r="E20"/>
  <c r="C18" i="22"/>
  <c r="D14" s="1"/>
  <c r="C19"/>
  <c r="C20"/>
  <c r="D20" s="1"/>
  <c r="E20" s="1"/>
  <c r="C21"/>
  <c r="C22"/>
  <c r="D22" s="1"/>
  <c r="E22" s="1"/>
  <c r="C23"/>
  <c r="C24"/>
  <c r="D24" s="1"/>
  <c r="E24" s="1"/>
  <c r="C25"/>
  <c r="C26"/>
  <c r="D26" s="1"/>
  <c r="E26" s="1"/>
  <c r="C27"/>
  <c r="D27" s="1"/>
  <c r="E27" s="1"/>
  <c r="D25"/>
  <c r="E25"/>
  <c r="D23"/>
  <c r="E23"/>
  <c r="D21"/>
  <c r="E21"/>
  <c r="D19"/>
  <c r="E19"/>
  <c r="C14"/>
  <c r="C13"/>
  <c r="C12"/>
  <c r="C11"/>
  <c r="C10"/>
  <c r="C9"/>
  <c r="C8"/>
  <c r="C7"/>
  <c r="C6"/>
  <c r="C5"/>
  <c r="A59" i="1"/>
  <c r="A61"/>
  <c r="A94" s="1"/>
  <c r="G96"/>
  <c r="B58"/>
  <c r="C58"/>
  <c r="E75" s="1"/>
  <c r="F75" s="1"/>
  <c r="E72" s="1"/>
  <c r="E73" s="1"/>
  <c r="F69"/>
  <c r="F67"/>
  <c r="K22" i="23"/>
  <c r="U22"/>
  <c r="R22"/>
  <c r="K20"/>
  <c r="R20" s="1"/>
  <c r="K18"/>
  <c r="R18" s="1"/>
  <c r="U18"/>
  <c r="D8"/>
  <c r="D9"/>
  <c r="E13" s="1"/>
  <c r="E15" s="1"/>
  <c r="D11"/>
  <c r="G23"/>
  <c r="E23"/>
  <c r="F23" s="1"/>
  <c r="C23" s="1"/>
  <c r="G22"/>
  <c r="E22"/>
  <c r="F22" s="1"/>
  <c r="C22" s="1"/>
  <c r="G21"/>
  <c r="E21"/>
  <c r="F21" s="1"/>
  <c r="C21" s="1"/>
  <c r="G20"/>
  <c r="F20"/>
  <c r="C20" s="1"/>
  <c r="C6" i="9"/>
  <c r="C7"/>
  <c r="C8"/>
  <c r="C9"/>
  <c r="C10"/>
  <c r="C11"/>
  <c r="C12"/>
  <c r="C13"/>
  <c r="C14"/>
  <c r="C15"/>
  <c r="C5"/>
  <c r="C40"/>
  <c r="C39"/>
  <c r="C38"/>
  <c r="C37"/>
  <c r="C36"/>
  <c r="C35"/>
  <c r="C34"/>
  <c r="C33"/>
  <c r="C32"/>
  <c r="C31"/>
  <c r="C30"/>
  <c r="C29"/>
  <c r="C28"/>
  <c r="C27"/>
  <c r="C26"/>
  <c r="C25"/>
  <c r="C24"/>
  <c r="C23"/>
  <c r="C21"/>
  <c r="C20"/>
  <c r="C19"/>
  <c r="C18"/>
  <c r="C17"/>
  <c r="C16"/>
  <c r="C4"/>
  <c r="C31" i="1"/>
  <c r="C26"/>
  <c r="E102"/>
  <c r="E103" s="1"/>
  <c r="D103" s="1"/>
  <c r="C102"/>
  <c r="G50"/>
  <c r="F51" s="1"/>
  <c r="E91"/>
  <c r="A60"/>
  <c r="C91"/>
  <c r="E92"/>
  <c r="D92" s="1"/>
  <c r="C42"/>
  <c r="C41"/>
  <c r="C40"/>
  <c r="C39"/>
  <c r="C38"/>
  <c r="C37"/>
  <c r="C36"/>
  <c r="C35"/>
  <c r="C34"/>
  <c r="C33"/>
  <c r="C32"/>
  <c r="C30"/>
  <c r="C29"/>
  <c r="C28"/>
  <c r="C27"/>
  <c r="C25"/>
  <c r="C24"/>
  <c r="C23"/>
  <c r="C22"/>
  <c r="C21"/>
  <c r="C20"/>
  <c r="C19"/>
  <c r="C18"/>
  <c r="C17"/>
  <c r="C16"/>
  <c r="C15"/>
  <c r="C14"/>
  <c r="C13"/>
  <c r="C12"/>
  <c r="C11"/>
  <c r="C10"/>
  <c r="H9" s="1"/>
  <c r="C9"/>
  <c r="C8"/>
  <c r="C7"/>
  <c r="C55" i="17"/>
  <c r="H77"/>
  <c r="K116" s="1"/>
  <c r="D77"/>
  <c r="D81"/>
  <c r="E81" s="1"/>
  <c r="E74"/>
  <c r="C78"/>
  <c r="C79"/>
  <c r="B107" s="1"/>
  <c r="E105" s="1"/>
  <c r="C105"/>
  <c r="C80"/>
  <c r="B92" s="1"/>
  <c r="K105"/>
  <c r="J97"/>
  <c r="D78"/>
  <c r="J93"/>
  <c r="J92"/>
  <c r="J90"/>
  <c r="J105"/>
  <c r="B99"/>
  <c r="B113" s="1"/>
  <c r="E111" s="1"/>
  <c r="J116"/>
  <c r="D83"/>
  <c r="E83" s="1"/>
  <c r="D82"/>
  <c r="E82"/>
  <c r="E78"/>
  <c r="E77"/>
  <c r="H73"/>
  <c r="H72"/>
  <c r="E97"/>
  <c r="C84" i="1"/>
  <c r="J40" i="18" s="1"/>
  <c r="C82" i="1"/>
  <c r="J55" i="17"/>
  <c r="C72" i="1"/>
  <c r="J61" i="17" s="1"/>
  <c r="C70" i="1"/>
  <c r="J46" i="17"/>
  <c r="B48"/>
  <c r="B63" s="1"/>
  <c r="E61" s="1"/>
  <c r="B57"/>
  <c r="E55" s="1"/>
  <c r="B62" i="1"/>
  <c r="B59"/>
  <c r="G75" i="2" s="1"/>
  <c r="G79" s="1"/>
  <c r="H83" s="1"/>
  <c r="B60" i="1"/>
  <c r="B61"/>
  <c r="C69" i="18"/>
  <c r="E97"/>
  <c r="C101"/>
  <c r="C102"/>
  <c r="I132" s="1"/>
  <c r="H100"/>
  <c r="B128"/>
  <c r="B152"/>
  <c r="E150" s="1"/>
  <c r="D100"/>
  <c r="D104"/>
  <c r="J155"/>
  <c r="C103"/>
  <c r="D103" s="1"/>
  <c r="E103" s="1"/>
  <c r="H128"/>
  <c r="J126" s="1"/>
  <c r="J144"/>
  <c r="B122"/>
  <c r="E120" s="1"/>
  <c r="B115"/>
  <c r="J120"/>
  <c r="J116"/>
  <c r="J115"/>
  <c r="J113"/>
  <c r="D101"/>
  <c r="E101" s="1"/>
  <c r="D106"/>
  <c r="E106" s="1"/>
  <c r="D105"/>
  <c r="E105"/>
  <c r="E104"/>
  <c r="E100"/>
  <c r="H96"/>
  <c r="H95"/>
  <c r="D113"/>
  <c r="E126"/>
  <c r="J69"/>
  <c r="J75"/>
  <c r="J46"/>
  <c r="B54"/>
  <c r="E52"/>
  <c r="B48"/>
  <c r="B77" s="1"/>
  <c r="E75" s="1"/>
  <c r="B71"/>
  <c r="E69" s="1"/>
  <c r="C3" i="21"/>
  <c r="A4" s="1"/>
  <c r="B4" s="1"/>
  <c r="D9" s="1"/>
  <c r="D11" s="1"/>
  <c r="C79" i="2"/>
  <c r="F46" i="1"/>
  <c r="E81" i="2" s="1"/>
  <c r="C83" s="1"/>
  <c r="C56" i="16"/>
  <c r="E70"/>
  <c r="C74"/>
  <c r="C76" s="1"/>
  <c r="H73"/>
  <c r="H77"/>
  <c r="I79" s="1"/>
  <c r="D73"/>
  <c r="D77"/>
  <c r="C75"/>
  <c r="D75" s="1"/>
  <c r="E75" s="1"/>
  <c r="B116"/>
  <c r="E114" s="1"/>
  <c r="K114"/>
  <c r="J114"/>
  <c r="C114"/>
  <c r="K107"/>
  <c r="J107"/>
  <c r="D103"/>
  <c r="D102"/>
  <c r="D74"/>
  <c r="E74" s="1"/>
  <c r="D100"/>
  <c r="D79"/>
  <c r="E79" s="1"/>
  <c r="D78"/>
  <c r="E78"/>
  <c r="E77"/>
  <c r="E73"/>
  <c r="H69"/>
  <c r="H68"/>
  <c r="J56"/>
  <c r="E47"/>
  <c r="B49"/>
  <c r="B64" s="1"/>
  <c r="E62" s="1"/>
  <c r="B58"/>
  <c r="E56"/>
  <c r="J41"/>
  <c r="H47" i="14"/>
  <c r="G47"/>
  <c r="F47"/>
  <c r="E47"/>
  <c r="D47"/>
  <c r="C47"/>
  <c r="B47"/>
  <c r="E28"/>
  <c r="D28"/>
  <c r="C28"/>
  <c r="B28"/>
  <c r="E27"/>
  <c r="D27"/>
  <c r="C27"/>
  <c r="B27"/>
  <c r="E26"/>
  <c r="D26"/>
  <c r="C26"/>
  <c r="B26"/>
  <c r="E25"/>
  <c r="D25"/>
  <c r="C25"/>
  <c r="B25"/>
  <c r="E24"/>
  <c r="D24"/>
  <c r="C24"/>
  <c r="B24"/>
  <c r="E23"/>
  <c r="D23"/>
  <c r="C23"/>
  <c r="B23"/>
  <c r="E21"/>
  <c r="D21"/>
  <c r="C21"/>
  <c r="B21"/>
  <c r="E20"/>
  <c r="D20"/>
  <c r="C20"/>
  <c r="B20"/>
  <c r="E19"/>
  <c r="D19"/>
  <c r="C19"/>
  <c r="B19"/>
  <c r="E18"/>
  <c r="D18"/>
  <c r="C18"/>
  <c r="B18"/>
  <c r="E17"/>
  <c r="D17"/>
  <c r="C17"/>
  <c r="B17"/>
  <c r="E16"/>
  <c r="D16"/>
  <c r="C16"/>
  <c r="B16"/>
  <c r="E14"/>
  <c r="D14"/>
  <c r="C14"/>
  <c r="B14"/>
  <c r="E13"/>
  <c r="D13"/>
  <c r="C13"/>
  <c r="B13"/>
  <c r="E12"/>
  <c r="D12"/>
  <c r="C12"/>
  <c r="B12"/>
  <c r="E11"/>
  <c r="D11"/>
  <c r="C11"/>
  <c r="B11"/>
  <c r="E10"/>
  <c r="D10"/>
  <c r="C10"/>
  <c r="B10"/>
  <c r="E9"/>
  <c r="D9"/>
  <c r="C9"/>
  <c r="B9"/>
  <c r="H16" i="1"/>
  <c r="F115"/>
  <c r="F113"/>
  <c r="G102"/>
  <c r="G91"/>
  <c r="F85"/>
  <c r="F83"/>
  <c r="C86"/>
  <c r="C85"/>
  <c r="C83"/>
  <c r="E53"/>
  <c r="D116"/>
  <c r="D115"/>
  <c r="D114"/>
  <c r="D113"/>
  <c r="C116"/>
  <c r="C115"/>
  <c r="C114"/>
  <c r="C113"/>
  <c r="C109"/>
  <c r="C108"/>
  <c r="C107"/>
  <c r="C106"/>
  <c r="C75"/>
  <c r="C74"/>
  <c r="C73"/>
  <c r="C71"/>
  <c r="C69"/>
  <c r="C68"/>
  <c r="C67"/>
  <c r="B64"/>
  <c r="C64" s="1"/>
  <c r="B63"/>
  <c r="G20"/>
  <c r="H8"/>
  <c r="G103"/>
  <c r="G92"/>
  <c r="C61"/>
  <c r="A85"/>
  <c r="A90"/>
  <c r="A56"/>
  <c r="C63"/>
  <c r="C62"/>
  <c r="C60"/>
  <c r="C59"/>
  <c r="C3" i="10"/>
  <c r="H12" s="1"/>
  <c r="H10"/>
  <c r="H11"/>
  <c r="H13"/>
  <c r="H14"/>
  <c r="H15"/>
  <c r="H17"/>
  <c r="H18"/>
  <c r="H19"/>
  <c r="H21"/>
  <c r="H22"/>
  <c r="H23"/>
  <c r="H25"/>
  <c r="H26"/>
  <c r="H27"/>
  <c r="H29"/>
  <c r="H9"/>
  <c r="G10"/>
  <c r="G12"/>
  <c r="G13"/>
  <c r="G14"/>
  <c r="G16"/>
  <c r="G17"/>
  <c r="G18"/>
  <c r="G20"/>
  <c r="G21"/>
  <c r="G22"/>
  <c r="G24"/>
  <c r="G25"/>
  <c r="G26"/>
  <c r="G28"/>
  <c r="G29"/>
  <c r="G9"/>
  <c r="F11"/>
  <c r="F12"/>
  <c r="F13"/>
  <c r="F15"/>
  <c r="F16"/>
  <c r="F17"/>
  <c r="F19"/>
  <c r="F20"/>
  <c r="F21"/>
  <c r="F23"/>
  <c r="F24"/>
  <c r="F25"/>
  <c r="F27"/>
  <c r="F28"/>
  <c r="F29"/>
  <c r="E10"/>
  <c r="E11"/>
  <c r="E12"/>
  <c r="E13"/>
  <c r="E14"/>
  <c r="E15"/>
  <c r="E16"/>
  <c r="E17"/>
  <c r="E18"/>
  <c r="E19"/>
  <c r="E20"/>
  <c r="E21"/>
  <c r="E22"/>
  <c r="E23"/>
  <c r="E24"/>
  <c r="E25"/>
  <c r="E26"/>
  <c r="E27"/>
  <c r="E28"/>
  <c r="E29"/>
  <c r="E9"/>
  <c r="D10"/>
  <c r="D11"/>
  <c r="D12"/>
  <c r="D13"/>
  <c r="D14"/>
  <c r="D15"/>
  <c r="D16"/>
  <c r="D17"/>
  <c r="D18"/>
  <c r="D19"/>
  <c r="D20"/>
  <c r="D21"/>
  <c r="D22"/>
  <c r="D23"/>
  <c r="D24"/>
  <c r="D25"/>
  <c r="D26"/>
  <c r="D27"/>
  <c r="D28"/>
  <c r="D29"/>
  <c r="D9"/>
  <c r="B11"/>
  <c r="B12"/>
  <c r="B13"/>
  <c r="B14"/>
  <c r="B15"/>
  <c r="B16"/>
  <c r="B17"/>
  <c r="B18"/>
  <c r="B19"/>
  <c r="B20"/>
  <c r="B21"/>
  <c r="B22"/>
  <c r="B23"/>
  <c r="B24"/>
  <c r="B25"/>
  <c r="B26"/>
  <c r="B27"/>
  <c r="B28"/>
  <c r="B29"/>
  <c r="C10"/>
  <c r="C11"/>
  <c r="C12"/>
  <c r="C13"/>
  <c r="C14"/>
  <c r="C15"/>
  <c r="C16"/>
  <c r="C17"/>
  <c r="C18"/>
  <c r="C19"/>
  <c r="C20"/>
  <c r="C21"/>
  <c r="C22"/>
  <c r="C23"/>
  <c r="C24"/>
  <c r="C25"/>
  <c r="C26"/>
  <c r="C27"/>
  <c r="C28"/>
  <c r="C29"/>
  <c r="C9"/>
  <c r="B10"/>
  <c r="B9"/>
  <c r="F34"/>
  <c r="M76" i="7"/>
  <c r="M77"/>
  <c r="M78"/>
  <c r="M79"/>
  <c r="M72"/>
  <c r="M73"/>
  <c r="M74"/>
  <c r="M75"/>
  <c r="M68"/>
  <c r="M69"/>
  <c r="M70"/>
  <c r="M71"/>
  <c r="M60"/>
  <c r="M61"/>
  <c r="M62"/>
  <c r="M63"/>
  <c r="M64"/>
  <c r="M65"/>
  <c r="M66"/>
  <c r="M67"/>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F16"/>
  <c r="F17"/>
  <c r="F18"/>
  <c r="F19"/>
  <c r="F20"/>
  <c r="F21"/>
  <c r="F22"/>
  <c r="F23"/>
  <c r="F12"/>
  <c r="F13"/>
  <c r="F14"/>
  <c r="F15"/>
  <c r="F11"/>
  <c r="B83" i="18" l="1"/>
  <c r="E81" s="1"/>
  <c r="F95" i="1"/>
  <c r="B95" s="1"/>
  <c r="D40" i="17"/>
  <c r="D40" i="18"/>
  <c r="D41" i="16"/>
  <c r="B42" i="17"/>
  <c r="J52" i="18"/>
  <c r="B42"/>
  <c r="B43" i="16"/>
  <c r="F96" i="1"/>
  <c r="E96"/>
  <c r="H75" i="16"/>
  <c r="E116" s="1"/>
  <c r="D76"/>
  <c r="E76" s="1"/>
  <c r="B122"/>
  <c r="D120" s="1"/>
  <c r="H102"/>
  <c r="J100" s="1"/>
  <c r="H113" i="17"/>
  <c r="J111" s="1"/>
  <c r="D90"/>
  <c r="H74" i="16"/>
  <c r="E100" s="1"/>
  <c r="K144" i="18"/>
  <c r="H152"/>
  <c r="J150" s="1"/>
  <c r="K155"/>
  <c r="H104"/>
  <c r="C144"/>
  <c r="E46" i="17"/>
  <c r="J40"/>
  <c r="G11" i="1"/>
  <c r="D79" i="17"/>
  <c r="E79" s="1"/>
  <c r="F9" i="10"/>
  <c r="F26"/>
  <c r="F22"/>
  <c r="F18"/>
  <c r="F14"/>
  <c r="F10"/>
  <c r="G27"/>
  <c r="G23"/>
  <c r="G19"/>
  <c r="G15"/>
  <c r="G11"/>
  <c r="H28"/>
  <c r="H24"/>
  <c r="H20"/>
  <c r="H16"/>
  <c r="E46" i="18"/>
  <c r="K120"/>
  <c r="I159"/>
  <c r="D80" i="17"/>
  <c r="E80" s="1"/>
  <c r="H81"/>
  <c r="U20" i="23"/>
  <c r="D5" i="22"/>
  <c r="D7"/>
  <c r="D9"/>
  <c r="D11"/>
  <c r="D13"/>
  <c r="D18"/>
  <c r="E18" s="1"/>
  <c r="N39" i="23"/>
  <c r="H134" i="18"/>
  <c r="D102"/>
  <c r="E102" s="1"/>
  <c r="K97" i="17"/>
  <c r="C28" i="22"/>
  <c r="D6"/>
  <c r="D8"/>
  <c r="D10"/>
  <c r="D12"/>
  <c r="K132" i="18" l="1"/>
  <c r="H161"/>
  <c r="K159" s="1"/>
  <c r="B146"/>
  <c r="E144" s="1"/>
  <c r="F58" i="1"/>
  <c r="D70" i="2"/>
  <c r="F45" i="1"/>
  <c r="F62"/>
  <c r="C47"/>
  <c r="E122" i="18"/>
  <c r="I106"/>
  <c r="E152"/>
  <c r="E128"/>
  <c r="E99" i="17"/>
  <c r="I83"/>
  <c r="H80" s="1"/>
  <c r="E113"/>
  <c r="H78"/>
  <c r="K90" s="1"/>
  <c r="H79"/>
  <c r="E107" s="1"/>
  <c r="H101" i="18"/>
  <c r="K113" s="1"/>
  <c r="H102"/>
  <c r="H76" i="16"/>
  <c r="H103" i="18"/>
  <c r="E90" i="17" l="1"/>
  <c r="K111"/>
  <c r="K134" i="18"/>
  <c r="K161"/>
  <c r="E146"/>
  <c r="K46" i="17"/>
  <c r="K61" s="1"/>
  <c r="G64" i="1"/>
  <c r="F59" s="1"/>
  <c r="K46" i="18"/>
  <c r="K75" s="1"/>
  <c r="K41" i="16"/>
  <c r="E120"/>
  <c r="K100"/>
  <c r="K150" i="18"/>
  <c r="K126"/>
  <c r="E113"/>
  <c r="E49" i="16"/>
  <c r="E48" i="17"/>
  <c r="E63" s="1"/>
  <c r="E48" i="18"/>
  <c r="E54"/>
  <c r="E64" i="16"/>
  <c r="F60" i="1" l="1"/>
  <c r="E57" i="17" s="1"/>
  <c r="K40" i="18"/>
  <c r="K69" s="1"/>
  <c r="G76" i="2"/>
  <c r="K56" i="16"/>
  <c r="K40" i="17"/>
  <c r="K55" s="1"/>
  <c r="E83" i="18"/>
  <c r="E77"/>
  <c r="F61" i="1"/>
  <c r="C48" s="1"/>
  <c r="E71" i="18" l="1"/>
  <c r="E58" i="16"/>
  <c r="E40" i="18"/>
  <c r="D95" i="1"/>
  <c r="K52" i="18"/>
  <c r="E41" i="16"/>
  <c r="E40" i="17"/>
</calcChain>
</file>

<file path=xl/comments1.xml><?xml version="1.0" encoding="utf-8"?>
<comments xmlns="http://schemas.openxmlformats.org/spreadsheetml/2006/main">
  <authors>
    <author>FAC</author>
    <author>Un utilisateur satisfait de Microsoft Office</author>
    <author>Sylvain</author>
  </authors>
  <commentList>
    <comment ref="B10" authorId="0">
      <text>
        <r>
          <rPr>
            <sz val="12"/>
            <color indexed="81"/>
            <rFont val="Tahoma"/>
            <family val="2"/>
          </rPr>
          <t>On atteint le palier 1 au bout de 3 minutes, c'est à dire à 9 km/h</t>
        </r>
        <r>
          <rPr>
            <sz val="8"/>
            <color indexed="81"/>
            <rFont val="Tahoma"/>
            <family val="2"/>
          </rPr>
          <t xml:space="preserve">
</t>
        </r>
      </text>
    </comment>
    <comment ref="G10" authorId="0">
      <text>
        <r>
          <rPr>
            <sz val="12"/>
            <color indexed="81"/>
            <rFont val="Tahoma"/>
            <family val="2"/>
          </rPr>
          <t>Indiquez la vitesse exacte de fin de test, celle-ci est à prendre dans la feuille Vam-Eval, en face du temps correspondant.
Exemple : fin du test à 17'30 donne une VAM de 16,3 km/h,
Il s'agit également de la dernière valeur de la colonne B qui est associée à une FC.</t>
        </r>
      </text>
    </comment>
    <comment ref="E17" authorId="0">
      <text>
        <r>
          <rPr>
            <b/>
            <sz val="12"/>
            <color indexed="81"/>
            <rFont val="Tahoma"/>
            <family val="2"/>
          </rPr>
          <t>Chronométrez exactement la première minute de la cassette.
Exemple la bande indique la première minute à partir de 61sec 3. Reportez cette valeur dans la cellule H17.</t>
        </r>
        <r>
          <rPr>
            <sz val="12"/>
            <color indexed="81"/>
            <rFont val="Tahoma"/>
            <family val="2"/>
          </rPr>
          <t xml:space="preserve">
</t>
        </r>
      </text>
    </comment>
    <comment ref="F25" authorId="0">
      <text>
        <r>
          <rPr>
            <b/>
            <sz val="12"/>
            <color indexed="81"/>
            <rFont val="Tahoma"/>
            <family val="2"/>
          </rPr>
          <t xml:space="preserve">Inscrivez votre VAM calculée à partir du test ou corrigée en fonction de la minute étalon (cassette Vam Eval)
 </t>
        </r>
      </text>
    </comment>
    <comment ref="F94" authorId="1">
      <text>
        <r>
          <rPr>
            <sz val="12"/>
            <color indexed="81"/>
            <rFont val="Tahoma"/>
            <family val="2"/>
          </rPr>
          <t>Entrez votre distance de course
choisie en mètres.</t>
        </r>
      </text>
    </comment>
    <comment ref="B96" authorId="2">
      <text>
        <r>
          <rPr>
            <b/>
            <sz val="8"/>
            <color indexed="81"/>
            <rFont val="Tahoma"/>
            <family val="2"/>
          </rPr>
          <t xml:space="preserve">Vous connaissez votre IEA :
- 4 = 111 minutes
-4,4 = 106 minutes
-4,8 = 101 minutes
-5,2 = 96 minutes
-5,6 = 93 minutes
-6 = 87 minutes
-6,4 = 75 minutes
-6,8 = 65 minutes
-7,2 = 57 minutes
-7,6 = 51 minutes
-8 = 43 minutes
-8,4 = 42 minutes
</t>
        </r>
        <r>
          <rPr>
            <sz val="8"/>
            <color indexed="81"/>
            <rFont val="Tahoma"/>
            <family val="2"/>
          </rPr>
          <t xml:space="preserve">
Inscrivez votre durée pour améliorer votre endurance.</t>
        </r>
      </text>
    </comment>
  </commentList>
</comments>
</file>

<file path=xl/comments2.xml><?xml version="1.0" encoding="utf-8"?>
<comments xmlns="http://schemas.openxmlformats.org/spreadsheetml/2006/main">
  <authors>
    <author>Sylvain</author>
  </authors>
  <commentList>
    <comment ref="A2" authorId="0">
      <text>
        <r>
          <rPr>
            <sz val="14"/>
            <color indexed="81"/>
            <rFont val="Times New Roman"/>
            <family val="1"/>
          </rPr>
          <t>La pente de relation entre la puissance relative et le temps total de course, exprimé sur une échelle logarithmique, est un indice de l'endurance aérobie.
Péronnet suppose que tous les coureurs peuvent maintenir la vitesse de leur VMA pendant 7 minutes, il donne alors la formule suivante pour calculer l'indice d'endurance :
IEA = (100-% de vma sur la course)/ln(7/temps de course en minutes).</t>
        </r>
        <r>
          <rPr>
            <sz val="8"/>
            <color indexed="81"/>
            <rFont val="Tahoma"/>
            <family val="2"/>
          </rPr>
          <t xml:space="preserve">
</t>
        </r>
      </text>
    </comment>
    <comment ref="J3" authorId="0">
      <text>
        <r>
          <rPr>
            <b/>
            <sz val="8"/>
            <color indexed="81"/>
            <rFont val="Tahoma"/>
            <family val="2"/>
          </rPr>
          <t>Entrez votre VMA et votre Indice IEA.</t>
        </r>
        <r>
          <rPr>
            <sz val="8"/>
            <color indexed="81"/>
            <rFont val="Tahoma"/>
            <family val="2"/>
          </rPr>
          <t xml:space="preserve">
</t>
        </r>
      </text>
    </comment>
    <comment ref="D6" authorId="0">
      <text>
        <r>
          <rPr>
            <b/>
            <sz val="8"/>
            <color indexed="81"/>
            <rFont val="Tahoma"/>
            <family val="2"/>
          </rPr>
          <t>Entrez une distance supérieure ou égale à 5000 mètres.</t>
        </r>
        <r>
          <rPr>
            <sz val="8"/>
            <color indexed="81"/>
            <rFont val="Tahoma"/>
            <family val="2"/>
          </rPr>
          <t xml:space="preserve">
</t>
        </r>
      </text>
    </comment>
    <comment ref="D19" authorId="0">
      <text>
        <r>
          <rPr>
            <b/>
            <sz val="12"/>
            <color indexed="81"/>
            <rFont val="Tahoma"/>
            <family val="2"/>
          </rPr>
          <t>Entrez vos temps sur les différentes distances.</t>
        </r>
        <r>
          <rPr>
            <sz val="12"/>
            <color indexed="81"/>
            <rFont val="Tahoma"/>
            <family val="2"/>
          </rPr>
          <t xml:space="preserve">
</t>
        </r>
      </text>
    </comment>
  </commentList>
</comments>
</file>

<file path=xl/comments3.xml><?xml version="1.0" encoding="utf-8"?>
<comments xmlns="http://schemas.openxmlformats.org/spreadsheetml/2006/main">
  <authors>
    <author>FAC</author>
  </authors>
  <commentList>
    <comment ref="C40" authorId="0">
      <text>
        <r>
          <rPr>
            <b/>
            <sz val="12"/>
            <color indexed="81"/>
            <rFont val="Tahoma"/>
            <family val="2"/>
          </rPr>
          <t>Indiquez votre distance en kilomètre</t>
        </r>
        <r>
          <rPr>
            <sz val="12"/>
            <color indexed="81"/>
            <rFont val="Tahoma"/>
            <family val="2"/>
          </rPr>
          <t xml:space="preserve">
</t>
        </r>
      </text>
    </comment>
    <comment ref="C90" authorId="0">
      <text>
        <r>
          <rPr>
            <b/>
            <sz val="8"/>
            <color indexed="81"/>
            <rFont val="Tahoma"/>
            <family val="2"/>
          </rPr>
          <t>i</t>
        </r>
        <r>
          <rPr>
            <b/>
            <sz val="12"/>
            <color indexed="81"/>
            <rFont val="Tahoma"/>
            <family val="2"/>
          </rPr>
          <t>ndiquez votre distance en kilomètres</t>
        </r>
        <r>
          <rPr>
            <sz val="12"/>
            <color indexed="81"/>
            <rFont val="Tahoma"/>
            <family val="2"/>
          </rPr>
          <t xml:space="preserve">
</t>
        </r>
      </text>
    </comment>
    <comment ref="I111" authorId="0">
      <text>
        <r>
          <rPr>
            <b/>
            <sz val="8"/>
            <color indexed="81"/>
            <rFont val="Tahoma"/>
            <family val="2"/>
          </rPr>
          <t>i</t>
        </r>
        <r>
          <rPr>
            <b/>
            <sz val="12"/>
            <color indexed="81"/>
            <rFont val="Tahoma"/>
            <family val="2"/>
          </rPr>
          <t>ndiquez votre distance en kilomètres</t>
        </r>
        <r>
          <rPr>
            <sz val="12"/>
            <color indexed="81"/>
            <rFont val="Tahoma"/>
            <family val="2"/>
          </rPr>
          <t xml:space="preserve">
</t>
        </r>
      </text>
    </comment>
  </commentList>
</comments>
</file>

<file path=xl/comments4.xml><?xml version="1.0" encoding="utf-8"?>
<comments xmlns="http://schemas.openxmlformats.org/spreadsheetml/2006/main">
  <authors>
    <author>FAC</author>
  </authors>
  <commentList>
    <comment ref="C40" authorId="0">
      <text>
        <r>
          <rPr>
            <b/>
            <sz val="8"/>
            <color indexed="81"/>
            <rFont val="Tahoma"/>
            <family val="2"/>
          </rPr>
          <t>i</t>
        </r>
        <r>
          <rPr>
            <b/>
            <sz val="12"/>
            <color indexed="81"/>
            <rFont val="Tahoma"/>
            <family val="2"/>
          </rPr>
          <t>ndiquez votre distance en kilomètre</t>
        </r>
        <r>
          <rPr>
            <sz val="12"/>
            <color indexed="81"/>
            <rFont val="Tahoma"/>
            <family val="2"/>
          </rPr>
          <t xml:space="preserve">
</t>
        </r>
      </text>
    </comment>
    <comment ref="I52" authorId="0">
      <text>
        <r>
          <rPr>
            <b/>
            <sz val="8"/>
            <color indexed="81"/>
            <rFont val="Tahoma"/>
            <family val="2"/>
          </rPr>
          <t>i</t>
        </r>
        <r>
          <rPr>
            <b/>
            <sz val="12"/>
            <color indexed="81"/>
            <rFont val="Tahoma"/>
            <family val="2"/>
          </rPr>
          <t>ndiquez votre distance en kilomètre</t>
        </r>
        <r>
          <rPr>
            <sz val="12"/>
            <color indexed="81"/>
            <rFont val="Tahoma"/>
            <family val="2"/>
          </rPr>
          <t xml:space="preserve">
</t>
        </r>
      </text>
    </comment>
    <comment ref="C113" authorId="0">
      <text>
        <r>
          <rPr>
            <b/>
            <sz val="8"/>
            <color indexed="81"/>
            <rFont val="Tahoma"/>
            <family val="2"/>
          </rPr>
          <t>i</t>
        </r>
        <r>
          <rPr>
            <b/>
            <sz val="12"/>
            <color indexed="81"/>
            <rFont val="Tahoma"/>
            <family val="2"/>
          </rPr>
          <t>ndiquez votre distance en kilomètre</t>
        </r>
        <r>
          <rPr>
            <sz val="12"/>
            <color indexed="81"/>
            <rFont val="Tahoma"/>
            <family val="2"/>
          </rPr>
          <t xml:space="preserve">
</t>
        </r>
      </text>
    </comment>
    <comment ref="I126" authorId="0">
      <text>
        <r>
          <rPr>
            <b/>
            <sz val="8"/>
            <color indexed="81"/>
            <rFont val="Tahoma"/>
            <family val="2"/>
          </rPr>
          <t>i</t>
        </r>
        <r>
          <rPr>
            <b/>
            <sz val="12"/>
            <color indexed="81"/>
            <rFont val="Tahoma"/>
            <family val="2"/>
          </rPr>
          <t>ndiquez votre distance en kilomètre</t>
        </r>
        <r>
          <rPr>
            <sz val="12"/>
            <color indexed="81"/>
            <rFont val="Tahoma"/>
            <family val="2"/>
          </rPr>
          <t xml:space="preserve">
</t>
        </r>
      </text>
    </comment>
    <comment ref="I150" authorId="0">
      <text>
        <r>
          <rPr>
            <b/>
            <sz val="8"/>
            <color indexed="81"/>
            <rFont val="Tahoma"/>
            <family val="2"/>
          </rPr>
          <t>i</t>
        </r>
        <r>
          <rPr>
            <b/>
            <sz val="12"/>
            <color indexed="81"/>
            <rFont val="Tahoma"/>
            <family val="2"/>
          </rPr>
          <t>ndiquez votre distance en kilomètre</t>
        </r>
        <r>
          <rPr>
            <sz val="12"/>
            <color indexed="81"/>
            <rFont val="Tahoma"/>
            <family val="2"/>
          </rPr>
          <t xml:space="preserve">
</t>
        </r>
      </text>
    </comment>
  </commentList>
</comments>
</file>

<file path=xl/comments5.xml><?xml version="1.0" encoding="utf-8"?>
<comments xmlns="http://schemas.openxmlformats.org/spreadsheetml/2006/main">
  <authors>
    <author>sc</author>
  </authors>
  <commentList>
    <comment ref="B5" authorId="0">
      <text>
        <r>
          <rPr>
            <b/>
            <sz val="8"/>
            <color indexed="81"/>
            <rFont val="Tahoma"/>
            <family val="2"/>
          </rPr>
          <t xml:space="preserve">Entrez vos temps sous forme </t>
        </r>
        <r>
          <rPr>
            <sz val="12"/>
            <color indexed="81"/>
            <rFont val="Tahoma"/>
            <family val="2"/>
          </rPr>
          <t>hh:mm:ss</t>
        </r>
        <r>
          <rPr>
            <sz val="8"/>
            <color indexed="81"/>
            <rFont val="Tahoma"/>
            <family val="2"/>
          </rPr>
          <t xml:space="preserve">
</t>
        </r>
      </text>
    </comment>
  </commentList>
</comments>
</file>

<file path=xl/sharedStrings.xml><?xml version="1.0" encoding="utf-8"?>
<sst xmlns="http://schemas.openxmlformats.org/spreadsheetml/2006/main" count="2306" uniqueCount="1253">
  <si>
    <t>Programme d'entraînement</t>
  </si>
  <si>
    <t>Nom :</t>
  </si>
  <si>
    <t xml:space="preserve"> </t>
  </si>
  <si>
    <t>Test le :</t>
  </si>
  <si>
    <t>Prénom :</t>
  </si>
  <si>
    <t>distance en m</t>
  </si>
  <si>
    <t>FC puls/min</t>
  </si>
  <si>
    <t>Palier 1</t>
  </si>
  <si>
    <t>Palier 2</t>
  </si>
  <si>
    <t>Palier 3</t>
  </si>
  <si>
    <t>VMA</t>
  </si>
  <si>
    <t>km/h</t>
  </si>
  <si>
    <t>FC après 5 minutes de récupération :</t>
  </si>
  <si>
    <t>récupération :</t>
  </si>
  <si>
    <t>ml/min/kg</t>
  </si>
  <si>
    <t>FC max</t>
  </si>
  <si>
    <t>Fc de la capacité aérobie</t>
  </si>
  <si>
    <t>% PMA pour CT aérobie :</t>
  </si>
  <si>
    <t>(entre 70 et 90 % de la VMA) en fonction de l'état de forme</t>
  </si>
  <si>
    <t>Temps indicatif sur 1000 m en CAPACITE AEROBIE : min:sec,d</t>
  </si>
  <si>
    <t>puls/min</t>
  </si>
  <si>
    <t>%</t>
  </si>
  <si>
    <t>vitesse km/h</t>
  </si>
  <si>
    <t>vitesse m/s</t>
  </si>
  <si>
    <t>séance</t>
  </si>
  <si>
    <t>VMA Vo2max-PMA</t>
  </si>
  <si>
    <t>seuil anaérobie</t>
  </si>
  <si>
    <t>entretien ou allure marathon</t>
  </si>
  <si>
    <t>capacité aérobie</t>
  </si>
  <si>
    <t>récupération - régénération</t>
  </si>
  <si>
    <t>résistance PAL</t>
  </si>
  <si>
    <t>résistance CAL</t>
  </si>
  <si>
    <t>durée</t>
  </si>
  <si>
    <t>récupération</t>
  </si>
  <si>
    <t>Volume séance</t>
  </si>
  <si>
    <t>45"</t>
  </si>
  <si>
    <t>à</t>
  </si>
  <si>
    <t>vo2max</t>
  </si>
  <si>
    <t>1'00"</t>
  </si>
  <si>
    <t>PMA</t>
  </si>
  <si>
    <t>km</t>
  </si>
  <si>
    <t>100%VMA</t>
  </si>
  <si>
    <t>Int. moyens et courts</t>
  </si>
  <si>
    <t>seuil</t>
  </si>
  <si>
    <t>2'30"</t>
  </si>
  <si>
    <t>anaérobie</t>
  </si>
  <si>
    <t>3'00"</t>
  </si>
  <si>
    <t xml:space="preserve"> VMA</t>
  </si>
  <si>
    <t>Int. moyens et longs</t>
  </si>
  <si>
    <t>Entretien ou allure marathon</t>
  </si>
  <si>
    <r>
      <t>en</t>
    </r>
    <r>
      <rPr>
        <b/>
        <sz val="12"/>
        <rFont val="Times New Roman"/>
      </rPr>
      <t xml:space="preserve"> km </t>
    </r>
    <r>
      <rPr>
        <sz val="10"/>
        <color indexed="12"/>
        <rFont val="Times New Roman"/>
        <family val="1"/>
      </rPr>
      <t>et en</t>
    </r>
    <r>
      <rPr>
        <b/>
        <sz val="12"/>
        <rFont val="Times New Roman"/>
      </rPr>
      <t xml:space="preserve"> </t>
    </r>
    <r>
      <rPr>
        <b/>
        <sz val="12"/>
        <color indexed="10"/>
        <rFont val="Times New Roman"/>
        <family val="1"/>
      </rPr>
      <t>h:min:sec</t>
    </r>
  </si>
  <si>
    <t>course continue</t>
  </si>
  <si>
    <t>Développement de la Capacité Aérobie</t>
  </si>
  <si>
    <t xml:space="preserve">distance choisie </t>
  </si>
  <si>
    <t>mètres</t>
  </si>
  <si>
    <t>% de la VMA</t>
  </si>
  <si>
    <t>FC en puls/min :</t>
  </si>
  <si>
    <t>Temps à maintenir</t>
  </si>
  <si>
    <t>h:min:sec</t>
  </si>
  <si>
    <t>Récupération - Régénération</t>
  </si>
  <si>
    <t>70%VMA</t>
  </si>
  <si>
    <t>complète</t>
  </si>
  <si>
    <t>Résistance</t>
  </si>
  <si>
    <t>6' à 8'</t>
  </si>
  <si>
    <t>800 m</t>
  </si>
  <si>
    <t>P.A.L</t>
  </si>
  <si>
    <t>et</t>
  </si>
  <si>
    <t>puissance</t>
  </si>
  <si>
    <t>plus</t>
  </si>
  <si>
    <t>1200 m</t>
  </si>
  <si>
    <t>anaérobie lactiq.</t>
  </si>
  <si>
    <t>entraînement fractionné</t>
  </si>
  <si>
    <r>
      <t>durée (</t>
    </r>
    <r>
      <rPr>
        <b/>
        <i/>
        <sz val="8"/>
        <rFont val="Times New Roman"/>
        <family val="1"/>
      </rPr>
      <t xml:space="preserve">+ ou - 5sec) de à </t>
    </r>
  </si>
  <si>
    <t>C.A.L</t>
  </si>
  <si>
    <t>capacité</t>
  </si>
  <si>
    <t>http:home.nordnet.fr/~scharlet</t>
  </si>
  <si>
    <t>E.mail: scharlet@nordnet.fr</t>
  </si>
  <si>
    <t>Palier 4</t>
  </si>
  <si>
    <t>Palier 5</t>
  </si>
  <si>
    <t>Palier 6</t>
  </si>
  <si>
    <t>Palier 7</t>
  </si>
  <si>
    <t>Palier 8</t>
  </si>
  <si>
    <t>Palier 9</t>
  </si>
  <si>
    <t>Palier 10</t>
  </si>
  <si>
    <t>Palier 11</t>
  </si>
  <si>
    <t>Palier 12</t>
  </si>
  <si>
    <t>Palier 13</t>
  </si>
  <si>
    <t>Palier 14</t>
  </si>
  <si>
    <t>Palier 15</t>
  </si>
  <si>
    <t>Palier 16</t>
  </si>
  <si>
    <t>Palier 17</t>
  </si>
  <si>
    <t>Palier 18</t>
  </si>
  <si>
    <t>Palier 19</t>
  </si>
  <si>
    <t>Palier 20</t>
  </si>
  <si>
    <t>Palier 21</t>
  </si>
  <si>
    <t>Palier 22</t>
  </si>
  <si>
    <t>Palier 23</t>
  </si>
  <si>
    <t>Palier 24</t>
  </si>
  <si>
    <t>Palier 25</t>
  </si>
  <si>
    <t>Palier 26</t>
  </si>
  <si>
    <t>Palier 27</t>
  </si>
  <si>
    <t>Palier 28</t>
  </si>
  <si>
    <t>Palier 29</t>
  </si>
  <si>
    <t>Palier 30</t>
  </si>
  <si>
    <t>Vitesse du dernier palier</t>
  </si>
  <si>
    <t>Fc maximale atteinte</t>
  </si>
  <si>
    <t>Age</t>
  </si>
  <si>
    <t>A partir du VAMEVAL</t>
  </si>
  <si>
    <r>
      <t>Vo2 max</t>
    </r>
    <r>
      <rPr>
        <sz val="12"/>
        <rFont val="Times New Roman"/>
      </rPr>
      <t xml:space="preserve"> extrapolée en fonction de votre âge</t>
    </r>
  </si>
  <si>
    <t>fréquence estimée</t>
  </si>
  <si>
    <t>Palier correspondant</t>
  </si>
  <si>
    <t>ECHAUFFEMENT</t>
  </si>
  <si>
    <t>Age :</t>
  </si>
  <si>
    <t>FC puls/min à la fin de chaque palier</t>
  </si>
  <si>
    <t>Vitesse correspondantes (km/h)</t>
  </si>
  <si>
    <r>
      <t xml:space="preserve">Temps cumulé    </t>
    </r>
    <r>
      <rPr>
        <sz val="10"/>
        <color indexed="10"/>
        <rFont val="Times New Roman"/>
        <family val="1"/>
      </rPr>
      <t>00:mm'sec</t>
    </r>
  </si>
  <si>
    <t>Palier 31</t>
  </si>
  <si>
    <t>Palier 32</t>
  </si>
  <si>
    <t>Palier 33</t>
  </si>
  <si>
    <t>Palier 34</t>
  </si>
  <si>
    <t xml:space="preserve"> D'après votre Test, votre seuil anaérobie correspond à  :</t>
  </si>
  <si>
    <t>de votre VMA</t>
  </si>
  <si>
    <t>Temps en min</t>
  </si>
  <si>
    <t>Echauffement</t>
  </si>
  <si>
    <t>Moyenne de votre Fréquence cardiaque</t>
  </si>
  <si>
    <t>Complétez les colonnes E et L par vos fréquences cardiaques</t>
  </si>
  <si>
    <t>départ</t>
  </si>
  <si>
    <t>1 minute</t>
  </si>
  <si>
    <t>TEMPS DE PASSAGE AUX :</t>
  </si>
  <si>
    <t>de la VMA</t>
  </si>
  <si>
    <t>Pour une autre distance :</t>
  </si>
  <si>
    <t>% choisi :</t>
  </si>
  <si>
    <t>distance :</t>
  </si>
  <si>
    <t>Temps :</t>
  </si>
  <si>
    <t xml:space="preserve">TEMPS DE PASSAGE - VAM </t>
  </si>
  <si>
    <t>100 m</t>
  </si>
  <si>
    <t xml:space="preserve">200 m </t>
  </si>
  <si>
    <t>300 m</t>
  </si>
  <si>
    <t>400 m</t>
  </si>
  <si>
    <t>1600 m</t>
  </si>
  <si>
    <t xml:space="preserve">% </t>
  </si>
  <si>
    <t>Votre</t>
  </si>
  <si>
    <t xml:space="preserve">Vitesse corrigée </t>
  </si>
  <si>
    <t xml:space="preserve">Durée réelle chronométrée de la minute étalon </t>
  </si>
  <si>
    <t>Vitesse corrigée</t>
  </si>
  <si>
    <t>1000 m</t>
  </si>
  <si>
    <t>1500 m</t>
  </si>
  <si>
    <t>2 km</t>
  </si>
  <si>
    <t xml:space="preserve">3 km </t>
  </si>
  <si>
    <t>5 km</t>
  </si>
  <si>
    <t xml:space="preserve"> 10 km</t>
  </si>
  <si>
    <t>15 km</t>
  </si>
  <si>
    <t>20 km</t>
  </si>
  <si>
    <t>30 km</t>
  </si>
  <si>
    <t>42,195 km</t>
  </si>
  <si>
    <t>VAM km/h</t>
  </si>
  <si>
    <t>VO2max ml/min/kg</t>
  </si>
  <si>
    <t>5'30</t>
  </si>
  <si>
    <t>4'50</t>
  </si>
  <si>
    <t>4'18</t>
  </si>
  <si>
    <t>3'52</t>
  </si>
  <si>
    <t>3'31</t>
  </si>
  <si>
    <t>3'14</t>
  </si>
  <si>
    <t>2'59</t>
  </si>
  <si>
    <t>2'46</t>
  </si>
  <si>
    <t>2'35</t>
  </si>
  <si>
    <t>2'26</t>
  </si>
  <si>
    <t>2'17</t>
  </si>
  <si>
    <t>2'10</t>
  </si>
  <si>
    <t>2'03</t>
  </si>
  <si>
    <t>1'57</t>
  </si>
  <si>
    <t>1'51</t>
  </si>
  <si>
    <t>1'46</t>
  </si>
  <si>
    <t>1'42</t>
  </si>
  <si>
    <t>1'37</t>
  </si>
  <si>
    <t>7'26</t>
  </si>
  <si>
    <t>6'28</t>
  </si>
  <si>
    <t>5'43</t>
  </si>
  <si>
    <t>5'08</t>
  </si>
  <si>
    <t>4'39</t>
  </si>
  <si>
    <t>4'16</t>
  </si>
  <si>
    <t>3'56</t>
  </si>
  <si>
    <t>3'38</t>
  </si>
  <si>
    <t>3'24</t>
  </si>
  <si>
    <t>3'11</t>
  </si>
  <si>
    <t>2'49</t>
  </si>
  <si>
    <t>2'40</t>
  </si>
  <si>
    <t>2'32</t>
  </si>
  <si>
    <t>2'25</t>
  </si>
  <si>
    <t>2'18</t>
  </si>
  <si>
    <t>2'12</t>
  </si>
  <si>
    <t>2'06</t>
  </si>
  <si>
    <t>13'30</t>
  </si>
  <si>
    <t>11'27</t>
  </si>
  <si>
    <t>9'56</t>
  </si>
  <si>
    <t>8'46</t>
  </si>
  <si>
    <t>7'51</t>
  </si>
  <si>
    <t>7'07</t>
  </si>
  <si>
    <t>6'30</t>
  </si>
  <si>
    <t>5'59</t>
  </si>
  <si>
    <t>5'32</t>
  </si>
  <si>
    <t>5'09</t>
  </si>
  <si>
    <t>4'32</t>
  </si>
  <si>
    <t>4'17</t>
  </si>
  <si>
    <t>4'03</t>
  </si>
  <si>
    <t>3'50</t>
  </si>
  <si>
    <t>3'39</t>
  </si>
  <si>
    <t>3'29</t>
  </si>
  <si>
    <t>3'20</t>
  </si>
  <si>
    <t>19'25</t>
  </si>
  <si>
    <t>16'19</t>
  </si>
  <si>
    <t>14'04</t>
  </si>
  <si>
    <t>12'22</t>
  </si>
  <si>
    <t>11'02</t>
  </si>
  <si>
    <t>9'58</t>
  </si>
  <si>
    <t>9'05</t>
  </si>
  <si>
    <t>8'20</t>
  </si>
  <si>
    <t>7'43</t>
  </si>
  <si>
    <t>7'10</t>
  </si>
  <si>
    <t>6'42</t>
  </si>
  <si>
    <t>6'17</t>
  </si>
  <si>
    <t>5'56</t>
  </si>
  <si>
    <t>5'36</t>
  </si>
  <si>
    <t>5'19</t>
  </si>
  <si>
    <t>5'07</t>
  </si>
  <si>
    <t>4'49</t>
  </si>
  <si>
    <t>4'36</t>
  </si>
  <si>
    <t>31'33</t>
  </si>
  <si>
    <t>26'22</t>
  </si>
  <si>
    <t>22'38</t>
  </si>
  <si>
    <t>19'50</t>
  </si>
  <si>
    <t>17'39</t>
  </si>
  <si>
    <t>15'54</t>
  </si>
  <si>
    <t>14'28</t>
  </si>
  <si>
    <t>13'16</t>
  </si>
  <si>
    <t>12'15</t>
  </si>
  <si>
    <t>11'23</t>
  </si>
  <si>
    <t>10'38</t>
  </si>
  <si>
    <t>9'23</t>
  </si>
  <si>
    <t>8'52</t>
  </si>
  <si>
    <t>8'24</t>
  </si>
  <si>
    <t>7'59</t>
  </si>
  <si>
    <t>7'36</t>
  </si>
  <si>
    <t>7'15</t>
  </si>
  <si>
    <t>56'49</t>
  </si>
  <si>
    <t>47'07</t>
  </si>
  <si>
    <t>40'10</t>
  </si>
  <si>
    <t>35'02</t>
  </si>
  <si>
    <t>31'04</t>
  </si>
  <si>
    <t>27'54</t>
  </si>
  <si>
    <t>25'20</t>
  </si>
  <si>
    <t>23'11</t>
  </si>
  <si>
    <t>21'23</t>
  </si>
  <si>
    <t>18'30</t>
  </si>
  <si>
    <t>17'20</t>
  </si>
  <si>
    <t>16'18</t>
  </si>
  <si>
    <t>15'23</t>
  </si>
  <si>
    <t>14'34</t>
  </si>
  <si>
    <t>13'50</t>
  </si>
  <si>
    <t>13'10</t>
  </si>
  <si>
    <t>12'34</t>
  </si>
  <si>
    <t>2 h 39'14</t>
  </si>
  <si>
    <t>2 h 02'00</t>
  </si>
  <si>
    <t>1 h 38'53</t>
  </si>
  <si>
    <t>1 h 23'08</t>
  </si>
  <si>
    <t>1 h 11'43</t>
  </si>
  <si>
    <t>1 h 03'03</t>
  </si>
  <si>
    <t>56'15</t>
  </si>
  <si>
    <t>50'47</t>
  </si>
  <si>
    <t>46'17</t>
  </si>
  <si>
    <t>42'30</t>
  </si>
  <si>
    <t>39'18</t>
  </si>
  <si>
    <t>36'33</t>
  </si>
  <si>
    <t>34'10</t>
  </si>
  <si>
    <t>32'04</t>
  </si>
  <si>
    <t>30'12</t>
  </si>
  <si>
    <t>28'33</t>
  </si>
  <si>
    <t>27'04</t>
  </si>
  <si>
    <t>25'44</t>
  </si>
  <si>
    <t>4 h 14'28</t>
  </si>
  <si>
    <t>3 h 12'59</t>
  </si>
  <si>
    <t>2 h 35'25</t>
  </si>
  <si>
    <t>2 h 10'06</t>
  </si>
  <si>
    <t>1 h 51'52</t>
  </si>
  <si>
    <t>1 h 38'07</t>
  </si>
  <si>
    <t>1 h 27'23</t>
  </si>
  <si>
    <t>1 h 18'46</t>
  </si>
  <si>
    <t>1 h 11'42</t>
  </si>
  <si>
    <t>1 h 05'47</t>
  </si>
  <si>
    <t>1 h 00'47</t>
  </si>
  <si>
    <t>56'29</t>
  </si>
  <si>
    <t>52'45</t>
  </si>
  <si>
    <t>49'29</t>
  </si>
  <si>
    <t>46'36</t>
  </si>
  <si>
    <t>44'01</t>
  </si>
  <si>
    <t>41'43</t>
  </si>
  <si>
    <t>39'39</t>
  </si>
  <si>
    <t>5 h 54'46</t>
  </si>
  <si>
    <t>4 h 27'00</t>
  </si>
  <si>
    <t>3 h 34'03</t>
  </si>
  <si>
    <t>2 h 58'38</t>
  </si>
  <si>
    <t>2 h 33'52</t>
  </si>
  <si>
    <t>2 h 14'13</t>
  </si>
  <si>
    <t>1 h 59'22</t>
  </si>
  <si>
    <t>1 h 47'29</t>
  </si>
  <si>
    <t>1 h 37'45</t>
  </si>
  <si>
    <t>1 h 29'38</t>
  </si>
  <si>
    <t>1 h 22'46</t>
  </si>
  <si>
    <t>1 h 16'52</t>
  </si>
  <si>
    <t>1 h 11'45</t>
  </si>
  <si>
    <t>1 h 07'17</t>
  </si>
  <si>
    <t>1 h 03'20</t>
  </si>
  <si>
    <t>59'30</t>
  </si>
  <si>
    <t>56'41</t>
  </si>
  <si>
    <t>53'51</t>
  </si>
  <si>
    <t>14 h 27'53</t>
  </si>
  <si>
    <t>9 h 11'57</t>
  </si>
  <si>
    <t>6 h 44'38</t>
  </si>
  <si>
    <t>5 h 19'24</t>
  </si>
  <si>
    <t>4 h 33'16</t>
  </si>
  <si>
    <t>3 h 44'43</t>
  </si>
  <si>
    <t>3 h 15'43</t>
  </si>
  <si>
    <t>2 h 53'20</t>
  </si>
  <si>
    <t>2 h 35'33</t>
  </si>
  <si>
    <t>2 h 21'05</t>
  </si>
  <si>
    <t>2 h 09'06</t>
  </si>
  <si>
    <t>1 h 59'57</t>
  </si>
  <si>
    <t>1 h 50'18</t>
  </si>
  <si>
    <t>1 h 42'49</t>
  </si>
  <si>
    <t>1 h 36'17</t>
  </si>
  <si>
    <t>1 h 30'32</t>
  </si>
  <si>
    <t>1 h 25'26</t>
  </si>
  <si>
    <t>1 h 20'53</t>
  </si>
  <si>
    <t>31 h 41'25</t>
  </si>
  <si>
    <t>16 h 35'05</t>
  </si>
  <si>
    <t>11 h 13'52</t>
  </si>
  <si>
    <t>8 h 29'26</t>
  </si>
  <si>
    <t>6 h 49'30</t>
  </si>
  <si>
    <t>5 h 42'21</t>
  </si>
  <si>
    <t>4 h 54'07</t>
  </si>
  <si>
    <t>4 h 17'48</t>
  </si>
  <si>
    <t>3 h 49'28</t>
  </si>
  <si>
    <t>3 h 26'44</t>
  </si>
  <si>
    <t>3 h 08'06</t>
  </si>
  <si>
    <t>2 h 52'34</t>
  </si>
  <si>
    <t>2 h 39'23</t>
  </si>
  <si>
    <t>2 h 28'05</t>
  </si>
  <si>
    <t>2 h 18'16</t>
  </si>
  <si>
    <t>2 h 09'41</t>
  </si>
  <si>
    <t>2 h 02'06</t>
  </si>
  <si>
    <t>1 h 55'21</t>
  </si>
  <si>
    <t>Extrapolation et prédiction de vos performances de course à partir de votre VAM</t>
  </si>
  <si>
    <t>18 ans et plus</t>
  </si>
  <si>
    <t>distance parcourue</t>
  </si>
  <si>
    <t>Temps</t>
  </si>
  <si>
    <t>Vitesse du parcours</t>
  </si>
  <si>
    <t>Indice d'endurance aérobie</t>
  </si>
  <si>
    <t>200 m</t>
  </si>
  <si>
    <t>2000 m</t>
  </si>
  <si>
    <t>3000 m</t>
  </si>
  <si>
    <t>5000 m</t>
  </si>
  <si>
    <t>10 000 m</t>
  </si>
  <si>
    <t xml:space="preserve"> 20 000 m</t>
  </si>
  <si>
    <t>42 195 m</t>
  </si>
  <si>
    <t>160 à 200</t>
  </si>
  <si>
    <t>150 à 200</t>
  </si>
  <si>
    <t>125 à 140</t>
  </si>
  <si>
    <t>120 à 125</t>
  </si>
  <si>
    <t>105 à 115</t>
  </si>
  <si>
    <t>101 à 111</t>
  </si>
  <si>
    <t>98 à 102</t>
  </si>
  <si>
    <t>95 à 100</t>
  </si>
  <si>
    <t>86 à 95</t>
  </si>
  <si>
    <t>85 à 90</t>
  </si>
  <si>
    <t>78 à 85</t>
  </si>
  <si>
    <t>72 à 80</t>
  </si>
  <si>
    <t>5 à 8</t>
  </si>
  <si>
    <t>62 à 65 %</t>
  </si>
  <si>
    <t>60 à 65 %</t>
  </si>
  <si>
    <t>50 à 55 %</t>
  </si>
  <si>
    <t>45 à 50 %</t>
  </si>
  <si>
    <t>35 à 40 %</t>
  </si>
  <si>
    <t>15 à 25 %</t>
  </si>
  <si>
    <t>5 à 10 %</t>
  </si>
  <si>
    <t>15 à 20 %</t>
  </si>
  <si>
    <t>20 à 25 %</t>
  </si>
  <si>
    <t>30 à 35 %</t>
  </si>
  <si>
    <t>40 à 45 %</t>
  </si>
  <si>
    <t>50 à 60 %</t>
  </si>
  <si>
    <t>45 à 55 %</t>
  </si>
  <si>
    <t>35 à 45 %</t>
  </si>
  <si>
    <t>30 à 40 %</t>
  </si>
  <si>
    <t>48 à 58 %</t>
  </si>
  <si>
    <t>56 à 66 %</t>
  </si>
  <si>
    <t>Acide gras</t>
  </si>
  <si>
    <t>Glycogène  + glucose</t>
  </si>
  <si>
    <t>AEROBIE</t>
  </si>
  <si>
    <t>Anaérobie lactique</t>
  </si>
  <si>
    <t>Anaérobie alactique</t>
  </si>
  <si>
    <t>Glycolyse lactique</t>
  </si>
  <si>
    <t>ATP - CP</t>
  </si>
  <si>
    <t>% de VAM</t>
  </si>
  <si>
    <r>
      <t xml:space="preserve">COURSE </t>
    </r>
    <r>
      <rPr>
        <sz val="10"/>
        <color indexed="10"/>
        <rFont val="Times New Roman"/>
        <family val="1"/>
      </rPr>
      <t>distances en m</t>
    </r>
  </si>
  <si>
    <t>Exigences et sollicitations énergétiques en course (en % de la dépense totale)</t>
  </si>
  <si>
    <t xml:space="preserve">Reconstitution de la totalité des réserves en : </t>
  </si>
  <si>
    <t>Elimination de l'acide lactique</t>
  </si>
  <si>
    <t>Nature</t>
  </si>
  <si>
    <t>10 à 15 sec</t>
  </si>
  <si>
    <t>2 à 3 min</t>
  </si>
  <si>
    <t>36 à 48 heures</t>
  </si>
  <si>
    <t>Durée</t>
  </si>
  <si>
    <t>1 h à 1 h 30</t>
  </si>
  <si>
    <t>12 à 20 min</t>
  </si>
  <si>
    <t>Passive</t>
  </si>
  <si>
    <t>Passive ou active intensité faible moins de 50 % VAM</t>
  </si>
  <si>
    <t>Récupération</t>
  </si>
  <si>
    <t>Active (50 à 60% VAM)</t>
  </si>
  <si>
    <t>Durées nécessaires pour reconstituer complètement les principales réserves métaboliques de l'organisme</t>
  </si>
  <si>
    <t>Calculée à partir de votre test Vameval</t>
  </si>
  <si>
    <t>fin Palier 1</t>
  </si>
  <si>
    <t xml:space="preserve"> fin Palier 2</t>
  </si>
  <si>
    <t>fin Palier 3</t>
  </si>
  <si>
    <t>fin Palier 4</t>
  </si>
  <si>
    <t>fin Palier 5</t>
  </si>
  <si>
    <t>fin Palier 6</t>
  </si>
  <si>
    <t>fin Palier 7</t>
  </si>
  <si>
    <t>fin Palier 8</t>
  </si>
  <si>
    <t>fin Palier 9</t>
  </si>
  <si>
    <t>fin Palier 10</t>
  </si>
  <si>
    <t>fin Palier 11</t>
  </si>
  <si>
    <t>fin Palier 12</t>
  </si>
  <si>
    <t>fin Palier 13</t>
  </si>
  <si>
    <t>fin Palier 14</t>
  </si>
  <si>
    <t>fin Palier 15</t>
  </si>
  <si>
    <t>fin Palier 16</t>
  </si>
  <si>
    <t>fin Palier 17</t>
  </si>
  <si>
    <t>fin Palier 18</t>
  </si>
  <si>
    <t>fin Palier 19</t>
  </si>
  <si>
    <t>fin Palier 20</t>
  </si>
  <si>
    <t>fin Palier 21</t>
  </si>
  <si>
    <t>fin Palier 22</t>
  </si>
  <si>
    <t>fin Palier 23</t>
  </si>
  <si>
    <t>fin Palier 24</t>
  </si>
  <si>
    <t>fin Palier 25</t>
  </si>
  <si>
    <t>fin Palier 26</t>
  </si>
  <si>
    <t>fin Palier 27</t>
  </si>
  <si>
    <t>fin Palier 28</t>
  </si>
  <si>
    <t>fin Palier 29</t>
  </si>
  <si>
    <t>fin Palier 30</t>
  </si>
  <si>
    <t>fin Palier 31</t>
  </si>
  <si>
    <t>fin Palier 32</t>
  </si>
  <si>
    <t>fin Palier 33</t>
  </si>
  <si>
    <t>fin Palier 34</t>
  </si>
  <si>
    <t>fin Palier 35</t>
  </si>
  <si>
    <t>debut Palier 1</t>
  </si>
  <si>
    <t>début Palier 2</t>
  </si>
  <si>
    <t>début Palier 3</t>
  </si>
  <si>
    <t>début Palier 4</t>
  </si>
  <si>
    <t>début Palier 5</t>
  </si>
  <si>
    <t>début Palier 6</t>
  </si>
  <si>
    <t>début Palier 7</t>
  </si>
  <si>
    <t>début Palier 8</t>
  </si>
  <si>
    <t>début Palier 9</t>
  </si>
  <si>
    <t>début Palier 10</t>
  </si>
  <si>
    <t>début Palier 11</t>
  </si>
  <si>
    <t>début Palier 12</t>
  </si>
  <si>
    <t>début Palier 13</t>
  </si>
  <si>
    <t>début Palier 14</t>
  </si>
  <si>
    <t>début Palier 15</t>
  </si>
  <si>
    <t>début Palier 16</t>
  </si>
  <si>
    <t>début Palier 17</t>
  </si>
  <si>
    <t>début Palier 18</t>
  </si>
  <si>
    <t>début Palier 19</t>
  </si>
  <si>
    <t>début Palier 20</t>
  </si>
  <si>
    <t>début Palier 21</t>
  </si>
  <si>
    <t>début Palier 22</t>
  </si>
  <si>
    <t>début Palier 23</t>
  </si>
  <si>
    <t>début Palier 24</t>
  </si>
  <si>
    <t>début Palier 25</t>
  </si>
  <si>
    <t>début Palier 26</t>
  </si>
  <si>
    <t>début Palier 27</t>
  </si>
  <si>
    <t>début Palier 28</t>
  </si>
  <si>
    <t>début Palier 29</t>
  </si>
  <si>
    <t>début Palier 30</t>
  </si>
  <si>
    <t>début Palier 31</t>
  </si>
  <si>
    <t>début Palier 32</t>
  </si>
  <si>
    <t>début Palier 33</t>
  </si>
  <si>
    <t>début Palier 34</t>
  </si>
  <si>
    <t>début palier 1</t>
  </si>
  <si>
    <t>Choisissez votre % de VAM pour votre seuil anaérobie :</t>
  </si>
  <si>
    <t>Le début d'un palier correspond  à la fin du  palier précédent.</t>
  </si>
  <si>
    <t>les valeurs</t>
  </si>
  <si>
    <t xml:space="preserve">Copier </t>
  </si>
  <si>
    <t>Collage spécial</t>
  </si>
  <si>
    <t>Graphique avec courbe</t>
  </si>
  <si>
    <t>de tendance (point d'inflexion)</t>
  </si>
  <si>
    <t>Complétez la feuille "VAM_EVAL" : âge et fréquences cardiaques</t>
  </si>
  <si>
    <t>Ecart type</t>
  </si>
  <si>
    <t>Complétez la feuille "données" : vitesses et fréquences cardiaques à coller</t>
  </si>
  <si>
    <t xml:space="preserve"> En théorie, le seuil anaérobie correspond à  :</t>
  </si>
  <si>
    <t>m</t>
  </si>
  <si>
    <t>MARATHON</t>
  </si>
  <si>
    <t xml:space="preserve">Nombre de séances hebdomadaire </t>
  </si>
  <si>
    <t>(3,4,5,6)</t>
  </si>
  <si>
    <t>3 mois avant votre marathon</t>
  </si>
  <si>
    <t>Semaine 1</t>
  </si>
  <si>
    <t>Semaine 2</t>
  </si>
  <si>
    <t>Semaine 3</t>
  </si>
  <si>
    <t>Semaine 4</t>
  </si>
  <si>
    <t>1er mois</t>
  </si>
  <si>
    <t>2e mois</t>
  </si>
  <si>
    <t>3e mois</t>
  </si>
  <si>
    <t>Le calcul du seuil Anaerobie ou aérobie (c'est la même chose)</t>
  </si>
  <si>
    <t>Résultat au test</t>
  </si>
  <si>
    <t>Votre FC maximale :</t>
  </si>
  <si>
    <t>Puls/min</t>
  </si>
  <si>
    <t>vitesse</t>
  </si>
  <si>
    <t>FC</t>
  </si>
  <si>
    <t>O2 utilisé</t>
  </si>
  <si>
    <t>ml/kg/min</t>
  </si>
  <si>
    <t>VO2 Max</t>
  </si>
  <si>
    <t>% d'utilisation d'O2</t>
  </si>
  <si>
    <t>A partir du graphique vous pouvez determiner votre vitesse au seuil anaérobie ainsi que votre FC</t>
  </si>
  <si>
    <t>Entraînement 5 mois avant son 10 km</t>
  </si>
  <si>
    <t>3 séances hebdomadaires</t>
  </si>
  <si>
    <r>
      <t xml:space="preserve">A - 1 mois dominante </t>
    </r>
    <r>
      <rPr>
        <b/>
        <sz val="12"/>
        <color indexed="10"/>
        <rFont val="Times New Roman"/>
        <family val="1"/>
      </rPr>
      <t>Capacité aérobie</t>
    </r>
  </si>
  <si>
    <r>
      <t xml:space="preserve">B - 2 mois dominante </t>
    </r>
    <r>
      <rPr>
        <b/>
        <sz val="12"/>
        <color indexed="10"/>
        <rFont val="Times New Roman"/>
        <family val="1"/>
      </rPr>
      <t>VMA</t>
    </r>
  </si>
  <si>
    <r>
      <t>1</t>
    </r>
    <r>
      <rPr>
        <b/>
        <vertAlign val="superscript"/>
        <sz val="12"/>
        <color indexed="10"/>
        <rFont val="Times New Roman"/>
        <family val="1"/>
      </rPr>
      <t>er</t>
    </r>
    <r>
      <rPr>
        <b/>
        <sz val="12"/>
        <color indexed="10"/>
        <rFont val="Times New Roman"/>
        <family val="1"/>
      </rPr>
      <t xml:space="preserve"> cycle</t>
    </r>
  </si>
  <si>
    <t>semaine 2</t>
  </si>
  <si>
    <t>semaine 3</t>
  </si>
  <si>
    <t>semaine 4</t>
  </si>
  <si>
    <r>
      <t>1</t>
    </r>
    <r>
      <rPr>
        <vertAlign val="superscript"/>
        <sz val="10"/>
        <rFont val="Times New Roman"/>
        <family val="1"/>
      </rPr>
      <t>er</t>
    </r>
    <r>
      <rPr>
        <sz val="10"/>
        <rFont val="Times New Roman"/>
        <family val="1"/>
      </rPr>
      <t xml:space="preserve"> cycle</t>
    </r>
  </si>
  <si>
    <t>S1</t>
  </si>
  <si>
    <t>S2</t>
  </si>
  <si>
    <t>Entretien</t>
  </si>
  <si>
    <t>S3</t>
  </si>
  <si>
    <t>C - 1 mois dominante seuil anaérobie</t>
  </si>
  <si>
    <r>
      <t>2</t>
    </r>
    <r>
      <rPr>
        <vertAlign val="superscript"/>
        <sz val="10"/>
        <rFont val="Times New Roman"/>
        <family val="1"/>
      </rPr>
      <t>eme</t>
    </r>
    <r>
      <rPr>
        <sz val="10"/>
        <rFont val="Times New Roman"/>
        <family val="1"/>
      </rPr>
      <t xml:space="preserve"> cycle</t>
    </r>
  </si>
  <si>
    <t>Semaine1</t>
  </si>
  <si>
    <t>D - Un mois avant le 10 km :</t>
  </si>
  <si>
    <t xml:space="preserve">3 séances par semaine </t>
  </si>
  <si>
    <t>Séance 1</t>
  </si>
  <si>
    <t>Capacité aérobie</t>
  </si>
  <si>
    <t>entre 6 et 10 km</t>
  </si>
  <si>
    <t>Temps en h:min'sec</t>
  </si>
  <si>
    <t>Séance 2</t>
  </si>
  <si>
    <t xml:space="preserve">Récupération entre les 500 </t>
  </si>
  <si>
    <t>Temps du 500  en h:min'sec</t>
  </si>
  <si>
    <t>30 à 45 minutes</t>
  </si>
  <si>
    <t>10 x 500 m</t>
  </si>
  <si>
    <t>55 sec.</t>
  </si>
  <si>
    <t>au 1000 m</t>
  </si>
  <si>
    <t>Séance 3</t>
  </si>
  <si>
    <t>Distance en km</t>
  </si>
  <si>
    <t>&lt; à 1 heure</t>
  </si>
  <si>
    <t>FC :</t>
  </si>
  <si>
    <t>Allure marathon</t>
  </si>
  <si>
    <t xml:space="preserve"> VMA en %</t>
  </si>
  <si>
    <t>Seuil anaérobie</t>
  </si>
  <si>
    <t>entre 1000 et 3000 m</t>
  </si>
  <si>
    <t>entre 6 et 15 km</t>
  </si>
  <si>
    <t xml:space="preserve">récup. 2'30 à 3 minutes </t>
  </si>
  <si>
    <t>6 x 1000</t>
  </si>
  <si>
    <t>Séance 4</t>
  </si>
  <si>
    <t>Test</t>
  </si>
  <si>
    <t>&gt; à 1 heure</t>
  </si>
  <si>
    <t xml:space="preserve"> CAT Test - Vam Eval - Léger Boucher ….</t>
  </si>
  <si>
    <t>Résultats du Test</t>
  </si>
  <si>
    <t>Fc max</t>
  </si>
  <si>
    <t xml:space="preserve">         Estimation de la </t>
  </si>
  <si>
    <t>VO2 max</t>
  </si>
  <si>
    <t>% seuil anaérobie :</t>
  </si>
  <si>
    <t>séances</t>
  </si>
  <si>
    <t>fréquences cardiaques théoriques</t>
  </si>
  <si>
    <t>A =</t>
  </si>
  <si>
    <t>B =</t>
  </si>
  <si>
    <t>Distance</t>
  </si>
  <si>
    <t>3000 - 2000 - 1000 m</t>
  </si>
  <si>
    <t xml:space="preserve">récupération 3 minutes </t>
  </si>
  <si>
    <t>45 minutes à 1 heure</t>
  </si>
  <si>
    <t>au km</t>
  </si>
  <si>
    <t xml:space="preserve">Récupération entre les 200 </t>
  </si>
  <si>
    <t>Temps du 200  en h:min'sec</t>
  </si>
  <si>
    <t>12 x 200 m</t>
  </si>
  <si>
    <t>45 sec.</t>
  </si>
  <si>
    <t xml:space="preserve">Semaine 4 </t>
  </si>
  <si>
    <t xml:space="preserve">Récupération entre les 800 </t>
  </si>
  <si>
    <t>Temps du 800  en h:min'sec</t>
  </si>
  <si>
    <t>5 x 800 m</t>
  </si>
  <si>
    <t xml:space="preserve">FC : </t>
  </si>
  <si>
    <t xml:space="preserve">Séance 3 </t>
  </si>
  <si>
    <t xml:space="preserve">30 minutes </t>
  </si>
  <si>
    <t>Compétition sur 10 km</t>
  </si>
  <si>
    <t>Bon entraînement !</t>
  </si>
  <si>
    <t>4 séances hebdomadaires</t>
  </si>
  <si>
    <t>S4</t>
  </si>
  <si>
    <t xml:space="preserve">4 séances par semaine </t>
  </si>
  <si>
    <t xml:space="preserve">récupération de 3 minutes </t>
  </si>
  <si>
    <t>4 x 2000</t>
  </si>
  <si>
    <t xml:space="preserve">Récupération entre les 300 </t>
  </si>
  <si>
    <t>10 x 300 m</t>
  </si>
  <si>
    <t>50 sec.</t>
  </si>
  <si>
    <t>Séance 5</t>
  </si>
  <si>
    <t>15 x 200 m</t>
  </si>
  <si>
    <t xml:space="preserve">Séance 4 </t>
  </si>
  <si>
    <t>suivie de :</t>
  </si>
  <si>
    <t xml:space="preserve">Récupération entre les 100 </t>
  </si>
  <si>
    <t>Temps du 100  en h:min'sec</t>
  </si>
  <si>
    <t>5 x 100 m</t>
  </si>
  <si>
    <t>5 séances hebdomadaires</t>
  </si>
  <si>
    <t>S5</t>
  </si>
  <si>
    <t xml:space="preserve">5 à 6 séances par semaine </t>
  </si>
  <si>
    <t>Séance 6</t>
  </si>
  <si>
    <t>Temps du 300  en h:min'sec</t>
  </si>
  <si>
    <t>Séance 6 A</t>
  </si>
  <si>
    <t>Séance 6 B</t>
  </si>
  <si>
    <t>45 minutes</t>
  </si>
  <si>
    <t>Distances</t>
  </si>
  <si>
    <t>Temps de passage</t>
  </si>
  <si>
    <t>1 Km</t>
  </si>
  <si>
    <t>10 km</t>
  </si>
  <si>
    <t>21,097 km</t>
  </si>
  <si>
    <t>35 km</t>
  </si>
  <si>
    <t>40 km</t>
  </si>
  <si>
    <t>Temps espéré :</t>
  </si>
  <si>
    <t>Estimation de vos temps de passage</t>
  </si>
  <si>
    <t>semi</t>
  </si>
  <si>
    <t>au marathon</t>
  </si>
  <si>
    <t>hh min:sec</t>
  </si>
  <si>
    <t>1km</t>
  </si>
  <si>
    <t>2km</t>
  </si>
  <si>
    <t>3km</t>
  </si>
  <si>
    <t>4km</t>
  </si>
  <si>
    <t>5km</t>
  </si>
  <si>
    <t>6km</t>
  </si>
  <si>
    <t>7km</t>
  </si>
  <si>
    <t>8km</t>
  </si>
  <si>
    <t>9km</t>
  </si>
  <si>
    <t>10km</t>
  </si>
  <si>
    <t>15km</t>
  </si>
  <si>
    <t>20km</t>
  </si>
  <si>
    <t>21,1km</t>
  </si>
  <si>
    <t>08,000km</t>
  </si>
  <si>
    <t>7'30''</t>
  </si>
  <si>
    <t>15'00"</t>
  </si>
  <si>
    <t>22'30''</t>
  </si>
  <si>
    <t>30'00"</t>
  </si>
  <si>
    <t>37'30''</t>
  </si>
  <si>
    <t>45'00"</t>
  </si>
  <si>
    <t>52'30''</t>
  </si>
  <si>
    <t>1h00'00"</t>
  </si>
  <si>
    <t>1h07'30''</t>
  </si>
  <si>
    <t>1h15'00"</t>
  </si>
  <si>
    <t>1h52'30''</t>
  </si>
  <si>
    <t>2h30'00"</t>
  </si>
  <si>
    <t>2h38'15''</t>
  </si>
  <si>
    <t>08,181km</t>
  </si>
  <si>
    <t>7'20''</t>
  </si>
  <si>
    <t>14'40"</t>
  </si>
  <si>
    <t>22'00"</t>
  </si>
  <si>
    <t>29'20"</t>
  </si>
  <si>
    <t>36'40"</t>
  </si>
  <si>
    <t>44'00"</t>
  </si>
  <si>
    <t>51'20"</t>
  </si>
  <si>
    <t>0h58'40"</t>
  </si>
  <si>
    <t>1h06'00"</t>
  </si>
  <si>
    <t>1h13'20"</t>
  </si>
  <si>
    <t>1h50'00"</t>
  </si>
  <si>
    <t>2h26'40"</t>
  </si>
  <si>
    <t>2h34'44"</t>
  </si>
  <si>
    <t>08,372km</t>
  </si>
  <si>
    <t>7'10''</t>
  </si>
  <si>
    <t>14'20"</t>
  </si>
  <si>
    <t>21'30"</t>
  </si>
  <si>
    <t>28'40"</t>
  </si>
  <si>
    <t>35'50"</t>
  </si>
  <si>
    <t>43'00"</t>
  </si>
  <si>
    <t>50'10"</t>
  </si>
  <si>
    <t>0h57'20"</t>
  </si>
  <si>
    <t>1h04'30"</t>
  </si>
  <si>
    <t>1h11'40"</t>
  </si>
  <si>
    <t>1h47'30"</t>
  </si>
  <si>
    <t>2h23'20"</t>
  </si>
  <si>
    <t>2h31'13"</t>
  </si>
  <si>
    <t>08,571km</t>
  </si>
  <si>
    <t>7'00"</t>
  </si>
  <si>
    <t>14'00"</t>
  </si>
  <si>
    <t>21'00"</t>
  </si>
  <si>
    <t>28'00"</t>
  </si>
  <si>
    <t>35'00"</t>
  </si>
  <si>
    <t>42'00"</t>
  </si>
  <si>
    <t>49'00"</t>
  </si>
  <si>
    <t>0h56'00"</t>
  </si>
  <si>
    <t>1h03'00"</t>
  </si>
  <si>
    <t>1h10'00"</t>
  </si>
  <si>
    <t>1h45'00"</t>
  </si>
  <si>
    <t>2h20'00"</t>
  </si>
  <si>
    <t>2h27'42"</t>
  </si>
  <si>
    <t>08,780km</t>
  </si>
  <si>
    <t>6'50''</t>
  </si>
  <si>
    <t>13'40"</t>
  </si>
  <si>
    <t>20'30"</t>
  </si>
  <si>
    <t>27'20"</t>
  </si>
  <si>
    <t>34'10"</t>
  </si>
  <si>
    <t>41'00"</t>
  </si>
  <si>
    <t>47'50"</t>
  </si>
  <si>
    <t>0h54'40"</t>
  </si>
  <si>
    <t>1h01'30"</t>
  </si>
  <si>
    <t>1h08'20"</t>
  </si>
  <si>
    <t>1h42'30"</t>
  </si>
  <si>
    <t>2h16'40"</t>
  </si>
  <si>
    <t>2h24'41"</t>
  </si>
  <si>
    <t>09,000km</t>
  </si>
  <si>
    <t>6'40''</t>
  </si>
  <si>
    <t>13'20"</t>
  </si>
  <si>
    <t>20'00"</t>
  </si>
  <si>
    <t>26'40"</t>
  </si>
  <si>
    <t>33'20"</t>
  </si>
  <si>
    <t>40'00"</t>
  </si>
  <si>
    <t>46'40"</t>
  </si>
  <si>
    <t>0h53'20"</t>
  </si>
  <si>
    <t>1h06'40"</t>
  </si>
  <si>
    <t>1h40'00"</t>
  </si>
  <si>
    <t>2h13'20"</t>
  </si>
  <si>
    <t>2h20'40"</t>
  </si>
  <si>
    <t>09,230km</t>
  </si>
  <si>
    <t>6'30''</t>
  </si>
  <si>
    <t>13'00"</t>
  </si>
  <si>
    <t>19'30"</t>
  </si>
  <si>
    <t>26'00"</t>
  </si>
  <si>
    <t>32'30"</t>
  </si>
  <si>
    <t>39'00"</t>
  </si>
  <si>
    <t>45'30"</t>
  </si>
  <si>
    <t>0h52'00"</t>
  </si>
  <si>
    <t>0h58'30"</t>
  </si>
  <si>
    <t>1h05'00"</t>
  </si>
  <si>
    <t>1h37'30"</t>
  </si>
  <si>
    <t>2h10'00"</t>
  </si>
  <si>
    <t>2h17'09"</t>
  </si>
  <si>
    <t>09,473km</t>
  </si>
  <si>
    <t>6'20''</t>
  </si>
  <si>
    <t>12'40''</t>
  </si>
  <si>
    <t>19'00"</t>
  </si>
  <si>
    <t>25'20"</t>
  </si>
  <si>
    <t>31'40"</t>
  </si>
  <si>
    <t>38'00"</t>
  </si>
  <si>
    <t>44'20"</t>
  </si>
  <si>
    <t>0h50'40"</t>
  </si>
  <si>
    <t>0h57'00"</t>
  </si>
  <si>
    <t>1h03'20"</t>
  </si>
  <si>
    <t>1h35'00"</t>
  </si>
  <si>
    <t>2h06'40"</t>
  </si>
  <si>
    <t>2h13'38"</t>
  </si>
  <si>
    <t>09,729km</t>
  </si>
  <si>
    <t>6'10''</t>
  </si>
  <si>
    <t>12'20''</t>
  </si>
  <si>
    <t>18'30"</t>
  </si>
  <si>
    <t>24'40"</t>
  </si>
  <si>
    <t>30'50"</t>
  </si>
  <si>
    <t>37'00"</t>
  </si>
  <si>
    <t>43'10"</t>
  </si>
  <si>
    <t>0h49'20"</t>
  </si>
  <si>
    <t>0h55'30"</t>
  </si>
  <si>
    <t>1h01'40"</t>
  </si>
  <si>
    <t>1h32'30"</t>
  </si>
  <si>
    <t>2h03'20"</t>
  </si>
  <si>
    <t>2h10'07"</t>
  </si>
  <si>
    <t>10,000km</t>
  </si>
  <si>
    <t>6'00"</t>
  </si>
  <si>
    <t>12'00"</t>
  </si>
  <si>
    <t>18'00"</t>
  </si>
  <si>
    <t>24'00"</t>
  </si>
  <si>
    <t>36'00"</t>
  </si>
  <si>
    <t>0h48'00"</t>
  </si>
  <si>
    <t>0h54'00"</t>
  </si>
  <si>
    <t>1'30'00"</t>
  </si>
  <si>
    <t>2h00'00"</t>
  </si>
  <si>
    <t>2h06'36"</t>
  </si>
  <si>
    <t>10,285km</t>
  </si>
  <si>
    <t>5'50''</t>
  </si>
  <si>
    <t>11'40"</t>
  </si>
  <si>
    <t>17'30"</t>
  </si>
  <si>
    <t>23'20"</t>
  </si>
  <si>
    <t>29'10"</t>
  </si>
  <si>
    <t>40'50"</t>
  </si>
  <si>
    <t>0h46'40"</t>
  </si>
  <si>
    <t>0h52'30"</t>
  </si>
  <si>
    <t>0h58'20"</t>
  </si>
  <si>
    <t>1h27'30"</t>
  </si>
  <si>
    <t>1h56'40"</t>
  </si>
  <si>
    <t>2h03'05"</t>
  </si>
  <si>
    <t>10,588km</t>
  </si>
  <si>
    <t>5'40''</t>
  </si>
  <si>
    <t>11'20"</t>
  </si>
  <si>
    <t>17'00"</t>
  </si>
  <si>
    <t>22'40"</t>
  </si>
  <si>
    <t>28'20"</t>
  </si>
  <si>
    <t>34'00"</t>
  </si>
  <si>
    <t>39'40"</t>
  </si>
  <si>
    <t>0h45'20"</t>
  </si>
  <si>
    <t>0h51'00"</t>
  </si>
  <si>
    <t>0h56'40"</t>
  </si>
  <si>
    <t>1h25'00"</t>
  </si>
  <si>
    <t>1h53'20"</t>
  </si>
  <si>
    <t>1h59'34"</t>
  </si>
  <si>
    <t>10,909km</t>
  </si>
  <si>
    <t>5'30''</t>
  </si>
  <si>
    <t>11'00"</t>
  </si>
  <si>
    <t>16'30"</t>
  </si>
  <si>
    <t>27'30"</t>
  </si>
  <si>
    <t>33'00"</t>
  </si>
  <si>
    <t>38'30"</t>
  </si>
  <si>
    <t>0h44'00"</t>
  </si>
  <si>
    <t>0h49'30"</t>
  </si>
  <si>
    <t>0h55'00"</t>
  </si>
  <si>
    <t>1h22'30"</t>
  </si>
  <si>
    <t>1h56'03"</t>
  </si>
  <si>
    <t>11,250km</t>
  </si>
  <si>
    <t>5'20''</t>
  </si>
  <si>
    <t>10'40"</t>
  </si>
  <si>
    <t>16'00"</t>
  </si>
  <si>
    <t>21'20"</t>
  </si>
  <si>
    <t>32'00"</t>
  </si>
  <si>
    <t>37'20"</t>
  </si>
  <si>
    <t>0h42'40"</t>
  </si>
  <si>
    <t>1h20'00"</t>
  </si>
  <si>
    <t>1h46'40"</t>
  </si>
  <si>
    <t>1h52'32"</t>
  </si>
  <si>
    <t>11,612km</t>
  </si>
  <si>
    <t>5'10''</t>
  </si>
  <si>
    <t>10'20"</t>
  </si>
  <si>
    <t>15'30"</t>
  </si>
  <si>
    <t>20'40"</t>
  </si>
  <si>
    <t>25'50"</t>
  </si>
  <si>
    <t>31'00"</t>
  </si>
  <si>
    <t>36'10"</t>
  </si>
  <si>
    <t>0h41'20"</t>
  </si>
  <si>
    <t>0h46'30"</t>
  </si>
  <si>
    <t>0h51'40"</t>
  </si>
  <si>
    <t>1h17'30"</t>
  </si>
  <si>
    <t>1h43'20"</t>
  </si>
  <si>
    <t>1h49'01"</t>
  </si>
  <si>
    <t>12,000km</t>
  </si>
  <si>
    <t>5'00"</t>
  </si>
  <si>
    <t>10'00"</t>
  </si>
  <si>
    <t>25'00"</t>
  </si>
  <si>
    <t>0h40'00"</t>
  </si>
  <si>
    <t>0h45'00"</t>
  </si>
  <si>
    <t>0h50'00"</t>
  </si>
  <si>
    <t>1h45'30"</t>
  </si>
  <si>
    <t>12,413km</t>
  </si>
  <si>
    <t>4'50''</t>
  </si>
  <si>
    <t>09'40"</t>
  </si>
  <si>
    <t>14'30"</t>
  </si>
  <si>
    <t>19'20"</t>
  </si>
  <si>
    <t>24'10"</t>
  </si>
  <si>
    <t>29'00"</t>
  </si>
  <si>
    <t>33'50"</t>
  </si>
  <si>
    <t>0h38'40"</t>
  </si>
  <si>
    <t>0h43'30"</t>
  </si>
  <si>
    <t>0h48'20"</t>
  </si>
  <si>
    <t>1h12'30"</t>
  </si>
  <si>
    <t>1h36'40"</t>
  </si>
  <si>
    <t>1h41'59"</t>
  </si>
  <si>
    <t>12,857km</t>
  </si>
  <si>
    <t>4'40''</t>
  </si>
  <si>
    <t>09'20"</t>
  </si>
  <si>
    <t>18'40"</t>
  </si>
  <si>
    <t>32'40"</t>
  </si>
  <si>
    <t>0h37'20"</t>
  </si>
  <si>
    <t>0h42'00"</t>
  </si>
  <si>
    <t>1h33'20"</t>
  </si>
  <si>
    <t>1h38'28"</t>
  </si>
  <si>
    <t>13,333km</t>
  </si>
  <si>
    <t>4'30''</t>
  </si>
  <si>
    <t>09'00"</t>
  </si>
  <si>
    <t>13'30"</t>
  </si>
  <si>
    <t>22'30"</t>
  </si>
  <si>
    <t>27'00"</t>
  </si>
  <si>
    <t>31'30"</t>
  </si>
  <si>
    <t>0h36'00"</t>
  </si>
  <si>
    <t>0h40'30"</t>
  </si>
  <si>
    <t>1h07'30"</t>
  </si>
  <si>
    <t>1h30'00"</t>
  </si>
  <si>
    <t>1h34'57"</t>
  </si>
  <si>
    <t>13,584km</t>
  </si>
  <si>
    <t>4'25''</t>
  </si>
  <si>
    <t>08'50'</t>
  </si>
  <si>
    <t>13'15"</t>
  </si>
  <si>
    <t>17'40"</t>
  </si>
  <si>
    <t>22'05"</t>
  </si>
  <si>
    <t>26'30"</t>
  </si>
  <si>
    <t>30'55"</t>
  </si>
  <si>
    <t>0h35'20"</t>
  </si>
  <si>
    <t>0h39'45"</t>
  </si>
  <si>
    <t>0h44'10"</t>
  </si>
  <si>
    <t>1h06'15"</t>
  </si>
  <si>
    <t>1h28'20"</t>
  </si>
  <si>
    <t>1h33'11"</t>
  </si>
  <si>
    <t>13,846km</t>
  </si>
  <si>
    <t>4'20''</t>
  </si>
  <si>
    <t>08'40"</t>
  </si>
  <si>
    <t>17'20"</t>
  </si>
  <si>
    <t>21'40"</t>
  </si>
  <si>
    <t>30'20"</t>
  </si>
  <si>
    <t>0h34'40"</t>
  </si>
  <si>
    <t>0h39'00"</t>
  </si>
  <si>
    <t>0h43'20"</t>
  </si>
  <si>
    <t>1h26'40"</t>
  </si>
  <si>
    <t>1h31'26"</t>
  </si>
  <si>
    <t>14,117km</t>
  </si>
  <si>
    <t>4'15''</t>
  </si>
  <si>
    <t>08'30"</t>
  </si>
  <si>
    <t>12'45"</t>
  </si>
  <si>
    <t>21'15"</t>
  </si>
  <si>
    <t>25'30"</t>
  </si>
  <si>
    <t>29'45"</t>
  </si>
  <si>
    <t>0h34'00"</t>
  </si>
  <si>
    <t>0h38'15"</t>
  </si>
  <si>
    <t>0h42'30"</t>
  </si>
  <si>
    <t>1h03'45"</t>
  </si>
  <si>
    <t>1h29'40"</t>
  </si>
  <si>
    <t>14,400km</t>
  </si>
  <si>
    <t>4'10''</t>
  </si>
  <si>
    <t>08'20"</t>
  </si>
  <si>
    <t>12'30"</t>
  </si>
  <si>
    <t>16'40"</t>
  </si>
  <si>
    <t>20'50"</t>
  </si>
  <si>
    <t>0h33'20"</t>
  </si>
  <si>
    <t>0h37'30"</t>
  </si>
  <si>
    <t>0h41'30"</t>
  </si>
  <si>
    <t>1h02'30"</t>
  </si>
  <si>
    <t>1h23'20"</t>
  </si>
  <si>
    <t>1h27'55"</t>
  </si>
  <si>
    <t>14,693km</t>
  </si>
  <si>
    <t>4'05''</t>
  </si>
  <si>
    <t>08'10"</t>
  </si>
  <si>
    <t>12'15"</t>
  </si>
  <si>
    <t>16'20"</t>
  </si>
  <si>
    <t>20'25"</t>
  </si>
  <si>
    <t>24'30"</t>
  </si>
  <si>
    <t>28'35"</t>
  </si>
  <si>
    <t>0h32'40"</t>
  </si>
  <si>
    <t>0h36'45"</t>
  </si>
  <si>
    <t>0h40'50"</t>
  </si>
  <si>
    <t>1h01'15"</t>
  </si>
  <si>
    <t>1h21'40"</t>
  </si>
  <si>
    <t>1h26'09"</t>
  </si>
  <si>
    <t>15,000km</t>
  </si>
  <si>
    <t>4'00"</t>
  </si>
  <si>
    <t>08'00"</t>
  </si>
  <si>
    <t>0h32'00"</t>
  </si>
  <si>
    <t>1h24'24"</t>
  </si>
  <si>
    <t>15,319km</t>
  </si>
  <si>
    <t>3'55''</t>
  </si>
  <si>
    <t>07'50"</t>
  </si>
  <si>
    <t>11'45"</t>
  </si>
  <si>
    <t>15'40"</t>
  </si>
  <si>
    <t>19'35"</t>
  </si>
  <si>
    <t>23'30"</t>
  </si>
  <si>
    <t>27'25"</t>
  </si>
  <si>
    <t>0h31'20"</t>
  </si>
  <si>
    <t>0h35'15"</t>
  </si>
  <si>
    <t>0h39'10"</t>
  </si>
  <si>
    <t>0h5845"</t>
  </si>
  <si>
    <t>1h18'20"</t>
  </si>
  <si>
    <t>1h22'38"</t>
  </si>
  <si>
    <t>15,652km</t>
  </si>
  <si>
    <t>3'50''</t>
  </si>
  <si>
    <t>07'40"</t>
  </si>
  <si>
    <t>11'30"</t>
  </si>
  <si>
    <t>15'20"</t>
  </si>
  <si>
    <t>19'10"</t>
  </si>
  <si>
    <t>23'00"</t>
  </si>
  <si>
    <t>26'50"</t>
  </si>
  <si>
    <t>0h30'40"</t>
  </si>
  <si>
    <t>0h34'30"</t>
  </si>
  <si>
    <t>0h38'20"</t>
  </si>
  <si>
    <t>0h57'30"</t>
  </si>
  <si>
    <t>1h16'40"</t>
  </si>
  <si>
    <t>1h20'53"</t>
  </si>
  <si>
    <t>16,000km</t>
  </si>
  <si>
    <t>3'45''</t>
  </si>
  <si>
    <t>07'30"</t>
  </si>
  <si>
    <t>11'15"</t>
  </si>
  <si>
    <t>18'45"</t>
  </si>
  <si>
    <t>26'15"</t>
  </si>
  <si>
    <t>0h30'00"</t>
  </si>
  <si>
    <t>0h33'45"</t>
  </si>
  <si>
    <t>0h56'15"</t>
  </si>
  <si>
    <t>1h19'07"</t>
  </si>
  <si>
    <t>16,363km</t>
  </si>
  <si>
    <t>3'40''</t>
  </si>
  <si>
    <t>07'20"</t>
  </si>
  <si>
    <t>18'20"</t>
  </si>
  <si>
    <t>25'40"</t>
  </si>
  <si>
    <t>0h29'20"</t>
  </si>
  <si>
    <t>0h33'00"</t>
  </si>
  <si>
    <t>0h36'40"</t>
  </si>
  <si>
    <t>1h17'22"</t>
  </si>
  <si>
    <t>16,744km</t>
  </si>
  <si>
    <t>3'35''</t>
  </si>
  <si>
    <t>07'10"</t>
  </si>
  <si>
    <t>10'45"</t>
  </si>
  <si>
    <t>17'55"</t>
  </si>
  <si>
    <t>25'05"</t>
  </si>
  <si>
    <t>0h28'40"</t>
  </si>
  <si>
    <t>0h32'15"</t>
  </si>
  <si>
    <t>0h35'50"</t>
  </si>
  <si>
    <t>0h53'45"</t>
  </si>
  <si>
    <t>1h15'36"</t>
  </si>
  <si>
    <t>17,142km</t>
  </si>
  <si>
    <t>3'30''</t>
  </si>
  <si>
    <t>07'00"</t>
  </si>
  <si>
    <t>10'30"</t>
  </si>
  <si>
    <t>0h28'00"</t>
  </si>
  <si>
    <t>0h31'30"</t>
  </si>
  <si>
    <t>0h35'00"</t>
  </si>
  <si>
    <t>1h13'51"</t>
  </si>
  <si>
    <t>17,560km</t>
  </si>
  <si>
    <t>3'25''</t>
  </si>
  <si>
    <t>06'50"</t>
  </si>
  <si>
    <t>10'15"</t>
  </si>
  <si>
    <t>17'05"</t>
  </si>
  <si>
    <t>23'55"</t>
  </si>
  <si>
    <t>0h27'20"</t>
  </si>
  <si>
    <t>0h30'45"</t>
  </si>
  <si>
    <t>0h34'10"</t>
  </si>
  <si>
    <t>0h51'15"</t>
  </si>
  <si>
    <t>1h12'05"</t>
  </si>
  <si>
    <t>18,000km</t>
  </si>
  <si>
    <t>3'20''</t>
  </si>
  <si>
    <t>06'40"</t>
  </si>
  <si>
    <t>0h26'40"</t>
  </si>
  <si>
    <t>1h10'20"</t>
  </si>
  <si>
    <t>18,460km</t>
  </si>
  <si>
    <t>3'15''</t>
  </si>
  <si>
    <t>06'30"</t>
  </si>
  <si>
    <t>09'45"</t>
  </si>
  <si>
    <t>16'15"</t>
  </si>
  <si>
    <t>22'45"</t>
  </si>
  <si>
    <t>0h26'00"</t>
  </si>
  <si>
    <t>0h29'15"</t>
  </si>
  <si>
    <t>0h32'30"</t>
  </si>
  <si>
    <t>0h48'45"</t>
  </si>
  <si>
    <t>1h08'34"</t>
  </si>
  <si>
    <t>18,945km</t>
  </si>
  <si>
    <t>3'10''</t>
  </si>
  <si>
    <t>06'20"</t>
  </si>
  <si>
    <t>09'30"</t>
  </si>
  <si>
    <t>12'40"</t>
  </si>
  <si>
    <t>15'50"</t>
  </si>
  <si>
    <t>22'10"</t>
  </si>
  <si>
    <t>0h25'20"</t>
  </si>
  <si>
    <t>0h28'30"</t>
  </si>
  <si>
    <t>0h31'40"</t>
  </si>
  <si>
    <t>0h47'30"</t>
  </si>
  <si>
    <t>1h06'48"</t>
  </si>
  <si>
    <t>19,200km</t>
  </si>
  <si>
    <t>3'07''</t>
  </si>
  <si>
    <t>06'15"</t>
  </si>
  <si>
    <t>09'22"</t>
  </si>
  <si>
    <t>15'37"</t>
  </si>
  <si>
    <t>21'52"</t>
  </si>
  <si>
    <t>0h25'00"</t>
  </si>
  <si>
    <t>0h28'07"</t>
  </si>
  <si>
    <t>0h31'15"</t>
  </si>
  <si>
    <t>0h46'53"</t>
  </si>
  <si>
    <t>1h05'56"</t>
  </si>
  <si>
    <t>19,455km</t>
  </si>
  <si>
    <t>3'05''</t>
  </si>
  <si>
    <t>06'10"</t>
  </si>
  <si>
    <t>09'15"</t>
  </si>
  <si>
    <t>12'20"</t>
  </si>
  <si>
    <t>15'25"</t>
  </si>
  <si>
    <t>21'35"</t>
  </si>
  <si>
    <t>0h24'40"</t>
  </si>
  <si>
    <t>0h27'45"</t>
  </si>
  <si>
    <t>0h30'50"</t>
  </si>
  <si>
    <t>0h46'15"</t>
  </si>
  <si>
    <t>1h05'03"</t>
  </si>
  <si>
    <t>19,760km</t>
  </si>
  <si>
    <t>3'02''</t>
  </si>
  <si>
    <t>06'05"</t>
  </si>
  <si>
    <t>09'07"</t>
  </si>
  <si>
    <t>12'10"</t>
  </si>
  <si>
    <t>15'12"</t>
  </si>
  <si>
    <t>18'15"</t>
  </si>
  <si>
    <t>21'17"</t>
  </si>
  <si>
    <t>0h24'20"</t>
  </si>
  <si>
    <t>0h27'22"</t>
  </si>
  <si>
    <t>0h30'25"</t>
  </si>
  <si>
    <t>0h45'37"</t>
  </si>
  <si>
    <t>1h00'50"</t>
  </si>
  <si>
    <t>1h04'10"</t>
  </si>
  <si>
    <t>20,000km</t>
  </si>
  <si>
    <t>06'00"</t>
  </si>
  <si>
    <t>0h24'00"</t>
  </si>
  <si>
    <t>0h27'00"</t>
  </si>
  <si>
    <t>1h03'17"</t>
  </si>
  <si>
    <t>] - Tableau des Temps de passage pour le SEMI-MARATHON - [</t>
  </si>
  <si>
    <t>Vitesse Moyenne</t>
  </si>
  <si>
    <t>Temps de passage au semi marathon</t>
  </si>
  <si>
    <t>à partir du test</t>
  </si>
  <si>
    <t>Séance6</t>
  </si>
  <si>
    <t>Utilisation du test Vam Eval pour créer vos plans d'entraînement</t>
  </si>
  <si>
    <t>Utilisez la barre espace pour vider les colonnes E et F de leurs valeurs FC</t>
  </si>
  <si>
    <r>
      <t>En bleu</t>
    </r>
    <r>
      <rPr>
        <b/>
        <sz val="12"/>
        <rFont val="Times New Roman"/>
        <family val="1"/>
      </rPr>
      <t>, les données que vous pouvez modifier ou entrer</t>
    </r>
  </si>
  <si>
    <t>Utilisez</t>
  </si>
  <si>
    <t xml:space="preserve">10 km </t>
  </si>
  <si>
    <t xml:space="preserve">Marathon  </t>
  </si>
  <si>
    <t>Semi  Marathon</t>
  </si>
  <si>
    <t>Retrouvez les séances correspondantes sur la feuille "Programme"</t>
  </si>
  <si>
    <t>Programme</t>
  </si>
  <si>
    <t>Retour page ENTRAINEMENT</t>
  </si>
  <si>
    <t>m/s</t>
  </si>
  <si>
    <t>Entraînement en 30/30</t>
  </si>
  <si>
    <t xml:space="preserve">Enchainez un maximum de fois </t>
  </si>
  <si>
    <t xml:space="preserve">avec en 30 secondes </t>
  </si>
  <si>
    <t>mètres en 30 secondes</t>
  </si>
  <si>
    <t>mètres de récupération</t>
  </si>
  <si>
    <t>Fractionnés courts</t>
  </si>
  <si>
    <t xml:space="preserve">Pour en savoir plus travaux de  : </t>
  </si>
  <si>
    <t xml:space="preserve">Véronique Billat </t>
  </si>
  <si>
    <t>le 30/30</t>
  </si>
  <si>
    <r>
      <t xml:space="preserve">Estimation Vo2max </t>
    </r>
    <r>
      <rPr>
        <sz val="12"/>
        <color indexed="10"/>
        <rFont val="Times New Roman"/>
        <family val="1"/>
      </rPr>
      <t>en ml/mm/kg</t>
    </r>
  </si>
  <si>
    <t xml:space="preserve">Oxygène                                                           </t>
  </si>
  <si>
    <t>ATP - CP (phosphagène)</t>
  </si>
  <si>
    <t>Glycogène</t>
  </si>
  <si>
    <t>ATP = Acide adénosine triphosphate</t>
  </si>
  <si>
    <t xml:space="preserve">CP = créatine-phosphate </t>
  </si>
  <si>
    <t>Date :</t>
  </si>
  <si>
    <t>Course :</t>
  </si>
  <si>
    <t>Vitesse moyenne km/h</t>
  </si>
  <si>
    <t>moyenne au kilo</t>
  </si>
  <si>
    <t>Moyenne</t>
  </si>
  <si>
    <t>Distance en m</t>
  </si>
  <si>
    <t>temps au km</t>
  </si>
  <si>
    <t>Vitesse par kilo km/h</t>
  </si>
  <si>
    <t>Vitesse m/s</t>
  </si>
  <si>
    <t>1er</t>
  </si>
  <si>
    <t>2eme</t>
  </si>
  <si>
    <t>3ème</t>
  </si>
  <si>
    <t>4ème</t>
  </si>
  <si>
    <t>5ème</t>
  </si>
  <si>
    <t>6ème</t>
  </si>
  <si>
    <t>7ème</t>
  </si>
  <si>
    <t>8ème</t>
  </si>
  <si>
    <t>9ème</t>
  </si>
  <si>
    <t>10ème</t>
  </si>
  <si>
    <t>Retour Entraînement</t>
  </si>
  <si>
    <t>m/min</t>
  </si>
  <si>
    <t>Vitesse</t>
  </si>
  <si>
    <t>Marathon</t>
  </si>
  <si>
    <t>D'après la formule de François Péronnet</t>
  </si>
  <si>
    <t>% de VMA utilisé</t>
  </si>
  <si>
    <t>Temps de course en minutes</t>
  </si>
  <si>
    <t>Indice Endurance aérobie</t>
  </si>
  <si>
    <t>Qualité d'endurance du coureur</t>
  </si>
  <si>
    <t>distance</t>
  </si>
  <si>
    <t>IEA</t>
  </si>
  <si>
    <t>Semi</t>
  </si>
  <si>
    <t>%VMA</t>
  </si>
  <si>
    <t>Minutes</t>
  </si>
  <si>
    <t>Vitesse km/h</t>
  </si>
  <si>
    <t>% de VMA</t>
  </si>
  <si>
    <t>Capacité anaérobie</t>
  </si>
  <si>
    <t>Très élevé</t>
  </si>
  <si>
    <t>Moyen</t>
  </si>
  <si>
    <t>Très Elevé</t>
  </si>
  <si>
    <t>Elevé</t>
  </si>
  <si>
    <t>Faible</t>
  </si>
  <si>
    <t>Endurance</t>
  </si>
  <si>
    <t>Effet sur</t>
  </si>
  <si>
    <t>Type de séance</t>
  </si>
  <si>
    <t>Endurance Intermittente</t>
  </si>
  <si>
    <t>Endurance Intermittente continue</t>
  </si>
  <si>
    <t>Continue longue et continue facile</t>
  </si>
  <si>
    <t>Adaptation Physiologique</t>
  </si>
  <si>
    <t>Développement fibres Fta et Ftb. Augmentation recrutement fibres. Amélioration capacité bufférisation du sang. Augmentation enzymes glycolytiques.</t>
  </si>
  <si>
    <t>ST : fibres lentes</t>
  </si>
  <si>
    <t>Fta : fibres rapides intermédiaires</t>
  </si>
  <si>
    <t>Ftb : fibres rapides</t>
  </si>
  <si>
    <t>Développement fibres ST et Fta. Augmentation volume d'éjection systolique. Augmentation enzymes oxydatives et glycolytiques.</t>
  </si>
  <si>
    <t>Développement fibres ST. Augmentation des réserves énergétiques. Augmentation des capillaires. Augmentation des mitochondries. Augmentation du, volume du sang.</t>
  </si>
  <si>
    <t>Effet de l'intensité de l'entraînement sur les facteurs de la performance</t>
  </si>
  <si>
    <t>Jack Arnault - Revue AEFA 182 - 2006 (Adapté de F. Péronnet et P. Coe)</t>
  </si>
  <si>
    <t>Coût énergétique de la course</t>
  </si>
  <si>
    <t>vitesse (m/min)</t>
  </si>
  <si>
    <t>Coüt( Kcal/kg/km)</t>
  </si>
  <si>
    <t>de</t>
  </si>
  <si>
    <t>100 à 104</t>
  </si>
  <si>
    <t>105 à 110</t>
  </si>
  <si>
    <t>111 à 117</t>
  </si>
  <si>
    <t>118 à 124</t>
  </si>
  <si>
    <t>125 à 132</t>
  </si>
  <si>
    <t>133 à 141</t>
  </si>
  <si>
    <t>142 à 152</t>
  </si>
  <si>
    <t>coût E au Km</t>
  </si>
  <si>
    <t>153 à 164</t>
  </si>
  <si>
    <t>Poids</t>
  </si>
  <si>
    <t>kg</t>
  </si>
  <si>
    <t>165 à 179</t>
  </si>
  <si>
    <t>Q E</t>
  </si>
  <si>
    <t>kilocalories/km</t>
  </si>
  <si>
    <t>180 à 197</t>
  </si>
  <si>
    <t>Coût Energétique total</t>
  </si>
  <si>
    <t>Kilocalories</t>
  </si>
  <si>
    <t>198 à 218</t>
  </si>
  <si>
    <t>219 à 245</t>
  </si>
  <si>
    <t>246 à 279</t>
  </si>
  <si>
    <t>280 à 324</t>
  </si>
  <si>
    <t>325 à 386</t>
  </si>
  <si>
    <t>387 et plus</t>
  </si>
  <si>
    <t>ou</t>
  </si>
  <si>
    <t>Amélioration de l'endurance</t>
  </si>
  <si>
    <t>80% VMA</t>
  </si>
  <si>
    <t>85%VMA</t>
  </si>
  <si>
    <t>Durée des séances en minutes</t>
  </si>
  <si>
    <t>Séances Amélioration de l'Endurance</t>
  </si>
  <si>
    <t xml:space="preserve">Continu : </t>
  </si>
  <si>
    <t>minutes à 80% de VMA, soit :</t>
  </si>
  <si>
    <t xml:space="preserve">km </t>
  </si>
  <si>
    <t>en</t>
  </si>
  <si>
    <t>Fractionné :</t>
  </si>
  <si>
    <t>2 x</t>
  </si>
  <si>
    <t>minutes à 85% de VMA, soit :</t>
  </si>
  <si>
    <t>3 x</t>
  </si>
  <si>
    <t>ou en 30"/30"</t>
  </si>
  <si>
    <t>Courir</t>
  </si>
  <si>
    <t>en 30 secondes</t>
  </si>
  <si>
    <t>récupérer</t>
  </si>
  <si>
    <t>En fonction de votre IEA courir environ :</t>
  </si>
  <si>
    <t>Endurance spécifique</t>
  </si>
  <si>
    <t>Temps au 10 km :</t>
  </si>
  <si>
    <t>Sommaire</t>
  </si>
  <si>
    <t>Vitesse :</t>
  </si>
  <si>
    <t>soit</t>
  </si>
  <si>
    <t>Séance vitesse de compétition :</t>
  </si>
  <si>
    <t>5 à 6 x 1000 m en :</t>
  </si>
  <si>
    <t>Récupération 2 minutes</t>
  </si>
  <si>
    <t>Séance Endurance spécifique :</t>
  </si>
  <si>
    <t>2000 m à 3000 m</t>
  </si>
  <si>
    <t xml:space="preserve">4 x 2000 m </t>
  </si>
  <si>
    <t>3 x 3000 m</t>
  </si>
  <si>
    <t xml:space="preserve">ou </t>
  </si>
  <si>
    <t xml:space="preserve">en </t>
  </si>
  <si>
    <r>
      <t xml:space="preserve">Copyright © Charlet Sylvain - Féchain-Athlétique-Club - </t>
    </r>
    <r>
      <rPr>
        <i/>
        <sz val="8"/>
        <color indexed="8"/>
        <rFont val="Times New Roman"/>
        <family val="1"/>
      </rPr>
      <t xml:space="preserve">Vam Eval version6.Août 2006 </t>
    </r>
  </si>
  <si>
    <t>A partir de la feuille "programme" ligne 59, votre vitesse est calculée en tenant compte de votre VMA déterminée. Votre FC est donnée théoriquement</t>
  </si>
  <si>
    <t>1er graphique</t>
  </si>
  <si>
    <t>2eme graphique</t>
  </si>
  <si>
    <t>Coller colonne B à partir de 8,5</t>
  </si>
  <si>
    <t>Coller colonne C à partir de C5</t>
  </si>
</sst>
</file>

<file path=xl/styles.xml><?xml version="1.0" encoding="utf-8"?>
<styleSheet xmlns="http://schemas.openxmlformats.org/spreadsheetml/2006/main">
  <numFmts count="25">
    <numFmt numFmtId="168" formatCode="mm:ss.00"/>
    <numFmt numFmtId="169" formatCode="0.0"/>
    <numFmt numFmtId="171" formatCode="h:mm:ss"/>
    <numFmt numFmtId="172" formatCode="mm\'ss\'\'.00"/>
    <numFmt numFmtId="173" formatCode="m\'ss\'\'.00"/>
    <numFmt numFmtId="174" formatCode="h\ :\ mm\'\ ss\'\'"/>
    <numFmt numFmtId="175" formatCode="mm\'\ ss\'\'\ .00"/>
    <numFmt numFmtId="176" formatCode="hh:mm\'ss"/>
    <numFmt numFmtId="177" formatCode="General&quot; %&quot;"/>
    <numFmt numFmtId="178" formatCode="General&quot; sec&quot;"/>
    <numFmt numFmtId="180" formatCode="General\ &quot;m&quot;"/>
    <numFmt numFmtId="181" formatCode="ss\'\'.00"/>
    <numFmt numFmtId="182" formatCode="0&quot;%&quot;"/>
    <numFmt numFmtId="183" formatCode="0&quot; puls/min&quot;"/>
    <numFmt numFmtId="184" formatCode="General&quot; m&quot;"/>
    <numFmt numFmtId="185" formatCode="0.00&quot; km/h&quot;"/>
    <numFmt numFmtId="186" formatCode="hh:mm:ss&quot; au kilomètre&quot;"/>
    <numFmt numFmtId="187" formatCode="General&quot; km&quot;"/>
    <numFmt numFmtId="188" formatCode="General&quot; '&quot;"/>
    <numFmt numFmtId="189" formatCode="0&quot; '&quot;"/>
    <numFmt numFmtId="190" formatCode="General&quot; min à :&quot;"/>
    <numFmt numFmtId="192" formatCode="0.00&quot; km en :&quot;"/>
    <numFmt numFmtId="193" formatCode="h&quot; h&quot;\ mm&quot; min&quot;"/>
    <numFmt numFmtId="194" formatCode="0.0&quot; % de VMA, soit :&quot;"/>
    <numFmt numFmtId="205" formatCode="mm&quot;min&quot;:ss&quot;sec&quot;;@"/>
  </numFmts>
  <fonts count="112">
    <font>
      <sz val="12"/>
      <name val="Times New Roman"/>
    </font>
    <font>
      <b/>
      <sz val="12"/>
      <name val="Times New Roman"/>
    </font>
    <font>
      <sz val="12"/>
      <name val="Times New Roman"/>
      <family val="1"/>
    </font>
    <font>
      <b/>
      <sz val="14"/>
      <color indexed="10"/>
      <name val="Times New Roman"/>
      <family val="1"/>
    </font>
    <font>
      <i/>
      <sz val="10"/>
      <color indexed="8"/>
      <name val="Times New Roman"/>
      <family val="1"/>
    </font>
    <font>
      <b/>
      <u/>
      <sz val="12"/>
      <name val="Times New Roman"/>
      <family val="1"/>
    </font>
    <font>
      <b/>
      <sz val="12"/>
      <color indexed="10"/>
      <name val="Times New Roman"/>
      <family val="1"/>
    </font>
    <font>
      <b/>
      <sz val="12"/>
      <color indexed="10"/>
      <name val="Times New Roman"/>
      <family val="1"/>
    </font>
    <font>
      <b/>
      <sz val="12"/>
      <color indexed="48"/>
      <name val="Times New Roman"/>
      <family val="1"/>
    </font>
    <font>
      <b/>
      <sz val="12"/>
      <color indexed="17"/>
      <name val="Times New Roman"/>
      <family val="1"/>
    </font>
    <font>
      <i/>
      <sz val="10"/>
      <name val="Times New Roman"/>
      <family val="1"/>
    </font>
    <font>
      <b/>
      <sz val="12"/>
      <color indexed="48"/>
      <name val="Times New Roman"/>
      <family val="1"/>
    </font>
    <font>
      <u/>
      <sz val="12"/>
      <name val="Times New Roman"/>
      <family val="1"/>
    </font>
    <font>
      <b/>
      <sz val="12"/>
      <color indexed="8"/>
      <name val="Times New Roman"/>
      <family val="1"/>
    </font>
    <font>
      <b/>
      <sz val="12"/>
      <color indexed="12"/>
      <name val="Times New Roman"/>
      <family val="1"/>
    </font>
    <font>
      <b/>
      <sz val="14"/>
      <color indexed="12"/>
      <name val="Times New Roman"/>
      <family val="1"/>
    </font>
    <font>
      <b/>
      <i/>
      <sz val="10"/>
      <color indexed="10"/>
      <name val="Times New Roman"/>
      <family val="1"/>
    </font>
    <font>
      <b/>
      <sz val="10"/>
      <name val="Times New Roman"/>
      <family val="1"/>
    </font>
    <font>
      <sz val="8"/>
      <name val="Times New Roman"/>
      <family val="1"/>
    </font>
    <font>
      <b/>
      <i/>
      <sz val="10"/>
      <name val="Times New Roman"/>
      <family val="1"/>
    </font>
    <font>
      <b/>
      <sz val="10"/>
      <name val="Times New Roman"/>
      <family val="1"/>
    </font>
    <font>
      <sz val="10"/>
      <name val="Times New Roman"/>
      <family val="1"/>
    </font>
    <font>
      <sz val="10"/>
      <name val="Times New Roman"/>
      <family val="1"/>
    </font>
    <font>
      <b/>
      <i/>
      <sz val="8"/>
      <name val="Times New Roman"/>
      <family val="1"/>
    </font>
    <font>
      <b/>
      <sz val="10"/>
      <color indexed="10"/>
      <name val="Times New Roman"/>
      <family val="1"/>
    </font>
    <font>
      <b/>
      <i/>
      <sz val="12"/>
      <color indexed="12"/>
      <name val="Times New Roman"/>
      <family val="1"/>
    </font>
    <font>
      <i/>
      <sz val="8"/>
      <color indexed="8"/>
      <name val="Times New Roman"/>
      <family val="1"/>
    </font>
    <font>
      <b/>
      <sz val="12"/>
      <color indexed="17"/>
      <name val="Times New Roman"/>
      <family val="1"/>
    </font>
    <font>
      <sz val="12"/>
      <name val="Times New Roman"/>
      <family val="1"/>
    </font>
    <font>
      <b/>
      <sz val="12"/>
      <color indexed="12"/>
      <name val="Times New Roman"/>
      <family val="1"/>
    </font>
    <font>
      <sz val="10"/>
      <color indexed="8"/>
      <name val="Times New Roman"/>
      <family val="1"/>
    </font>
    <font>
      <b/>
      <i/>
      <sz val="12"/>
      <color indexed="8"/>
      <name val="Times New Roman"/>
      <family val="1"/>
    </font>
    <font>
      <b/>
      <i/>
      <sz val="12"/>
      <color indexed="10"/>
      <name val="Times New Roman"/>
      <family val="1"/>
    </font>
    <font>
      <sz val="10"/>
      <color indexed="12"/>
      <name val="Times New Roman"/>
      <family val="1"/>
    </font>
    <font>
      <b/>
      <i/>
      <sz val="12"/>
      <color indexed="10"/>
      <name val="Times New Roman"/>
      <family val="1"/>
    </font>
    <font>
      <sz val="8"/>
      <color indexed="81"/>
      <name val="Tahoma"/>
      <family val="2"/>
    </font>
    <font>
      <b/>
      <sz val="12"/>
      <name val="Times New Roman"/>
      <family val="1"/>
    </font>
    <font>
      <b/>
      <u/>
      <sz val="12"/>
      <color indexed="10"/>
      <name val="Times New Roman"/>
      <family val="1"/>
    </font>
    <font>
      <b/>
      <u/>
      <sz val="12"/>
      <color indexed="12"/>
      <name val="Times New Roman"/>
      <family val="1"/>
    </font>
    <font>
      <sz val="12"/>
      <color indexed="10"/>
      <name val="Times New Roman"/>
      <family val="1"/>
    </font>
    <font>
      <sz val="12"/>
      <color indexed="48"/>
      <name val="Times New Roman"/>
      <family val="1"/>
    </font>
    <font>
      <sz val="10"/>
      <color indexed="48"/>
      <name val="Times New Roman"/>
      <family val="1"/>
    </font>
    <font>
      <sz val="8"/>
      <color indexed="9"/>
      <name val="Times New Roman"/>
      <family val="1"/>
    </font>
    <font>
      <sz val="10"/>
      <color indexed="10"/>
      <name val="Times New Roman"/>
      <family val="1"/>
    </font>
    <font>
      <b/>
      <sz val="10"/>
      <color indexed="56"/>
      <name val="Times New Roman"/>
      <family val="1"/>
    </font>
    <font>
      <b/>
      <sz val="12"/>
      <color indexed="56"/>
      <name val="Times New Roman"/>
      <family val="1"/>
    </font>
    <font>
      <i/>
      <sz val="10"/>
      <name val="Times New Roman"/>
      <family val="1"/>
    </font>
    <font>
      <sz val="11"/>
      <color indexed="12"/>
      <name val="Times New Roman"/>
      <family val="1"/>
    </font>
    <font>
      <b/>
      <sz val="11"/>
      <color indexed="10"/>
      <name val="Times New Roman"/>
      <family val="1"/>
    </font>
    <font>
      <b/>
      <sz val="18"/>
      <color indexed="10"/>
      <name val="Times New Roman"/>
      <family val="1"/>
    </font>
    <font>
      <sz val="8"/>
      <color indexed="10"/>
      <name val="Times New Roman"/>
      <family val="1"/>
    </font>
    <font>
      <b/>
      <sz val="12"/>
      <color indexed="81"/>
      <name val="Tahoma"/>
      <family val="2"/>
    </font>
    <font>
      <u/>
      <sz val="12"/>
      <color indexed="10"/>
      <name val="Times New Roman"/>
      <family val="1"/>
    </font>
    <font>
      <sz val="12"/>
      <color indexed="81"/>
      <name val="Tahoma"/>
      <family val="2"/>
    </font>
    <font>
      <i/>
      <sz val="12"/>
      <name val="Times New Roman"/>
      <family val="1"/>
    </font>
    <font>
      <b/>
      <sz val="12"/>
      <color indexed="12"/>
      <name val="Arial"/>
      <family val="2"/>
    </font>
    <font>
      <b/>
      <u/>
      <sz val="12"/>
      <name val="Times New Roman"/>
      <family val="1"/>
    </font>
    <font>
      <b/>
      <sz val="16"/>
      <color indexed="12"/>
      <name val="Times New Roman"/>
      <family val="1"/>
    </font>
    <font>
      <b/>
      <sz val="12"/>
      <color indexed="10"/>
      <name val="Arial"/>
      <family val="2"/>
    </font>
    <font>
      <i/>
      <sz val="12"/>
      <color indexed="10"/>
      <name val="Times New Roman"/>
      <family val="1"/>
    </font>
    <font>
      <b/>
      <vertAlign val="superscript"/>
      <sz val="12"/>
      <color indexed="10"/>
      <name val="Times New Roman"/>
      <family val="1"/>
    </font>
    <font>
      <vertAlign val="superscript"/>
      <sz val="10"/>
      <name val="Times New Roman"/>
      <family val="1"/>
    </font>
    <font>
      <sz val="11"/>
      <name val="Times New Roman"/>
      <family val="1"/>
    </font>
    <font>
      <sz val="14"/>
      <color indexed="12"/>
      <name val="Times New Roman"/>
      <family val="1"/>
    </font>
    <font>
      <sz val="14"/>
      <name val="Times New Roman"/>
      <family val="1"/>
    </font>
    <font>
      <b/>
      <i/>
      <sz val="14"/>
      <color indexed="10"/>
      <name val="Times New Roman"/>
      <family val="1"/>
    </font>
    <font>
      <sz val="14"/>
      <color indexed="8"/>
      <name val="Times New Roman"/>
      <family val="1"/>
    </font>
    <font>
      <b/>
      <sz val="10"/>
      <color indexed="48"/>
      <name val="Times New Roman"/>
      <family val="1"/>
    </font>
    <font>
      <b/>
      <sz val="14"/>
      <name val="Times New Roman"/>
      <family val="1"/>
    </font>
    <font>
      <b/>
      <sz val="12"/>
      <color indexed="56"/>
      <name val="Times New Roman"/>
      <family val="1"/>
    </font>
    <font>
      <u/>
      <sz val="8"/>
      <name val="Times New Roman"/>
      <family val="1"/>
    </font>
    <font>
      <sz val="12"/>
      <color indexed="12"/>
      <name val="Times New Roman"/>
      <family val="1"/>
    </font>
    <font>
      <u/>
      <sz val="11"/>
      <name val="Times New Roman"/>
      <family val="1"/>
    </font>
    <font>
      <b/>
      <sz val="12"/>
      <color indexed="9"/>
      <name val="Times New Roman"/>
      <family val="1"/>
    </font>
    <font>
      <i/>
      <sz val="14"/>
      <color indexed="10"/>
      <name val="Times New Roman"/>
      <family val="1"/>
    </font>
    <font>
      <b/>
      <sz val="8"/>
      <color indexed="81"/>
      <name val="Tahoma"/>
      <family val="2"/>
    </font>
    <font>
      <b/>
      <sz val="12"/>
      <color indexed="10"/>
      <name val="Arial"/>
      <family val="2"/>
    </font>
    <font>
      <sz val="12"/>
      <color indexed="8"/>
      <name val="Arial"/>
      <family val="2"/>
    </font>
    <font>
      <b/>
      <u/>
      <sz val="12"/>
      <color indexed="10"/>
      <name val="Arial"/>
      <family val="2"/>
    </font>
    <font>
      <b/>
      <i/>
      <sz val="12"/>
      <color indexed="10"/>
      <name val="Arial"/>
      <family val="2"/>
    </font>
    <font>
      <b/>
      <sz val="12"/>
      <color indexed="8"/>
      <name val="Arial"/>
      <family val="2"/>
    </font>
    <font>
      <b/>
      <sz val="10"/>
      <color indexed="8"/>
      <name val="Times New Roman"/>
      <family val="1"/>
    </font>
    <font>
      <u/>
      <sz val="12"/>
      <color indexed="12"/>
      <name val="Times New Roman"/>
      <family val="1"/>
    </font>
    <font>
      <sz val="9"/>
      <name val="Times New Roman"/>
      <family val="1"/>
    </font>
    <font>
      <b/>
      <sz val="16"/>
      <color indexed="10"/>
      <name val="Times New Roman"/>
      <family val="1"/>
    </font>
    <font>
      <b/>
      <u/>
      <sz val="16"/>
      <color indexed="10"/>
      <name val="Times New Roman"/>
      <family val="1"/>
    </font>
    <font>
      <i/>
      <sz val="8"/>
      <color indexed="9"/>
      <name val="Times New Roman"/>
      <family val="1"/>
    </font>
    <font>
      <i/>
      <sz val="8"/>
      <color indexed="9"/>
      <name val="Arial"/>
      <family val="2"/>
    </font>
    <font>
      <u/>
      <sz val="12"/>
      <name val="Times New Roman"/>
      <family val="1"/>
    </font>
    <font>
      <b/>
      <sz val="12"/>
      <name val="Arial"/>
      <family val="2"/>
    </font>
    <font>
      <sz val="12"/>
      <color indexed="9"/>
      <name val="Times New Roman"/>
      <family val="1"/>
    </font>
    <font>
      <sz val="8"/>
      <name val="Times New Roman"/>
      <family val="1"/>
    </font>
    <font>
      <b/>
      <sz val="14"/>
      <name val="Times New Roman"/>
      <family val="1"/>
    </font>
    <font>
      <b/>
      <sz val="14"/>
      <color indexed="12"/>
      <name val="Times New Roman"/>
      <family val="1"/>
    </font>
    <font>
      <b/>
      <i/>
      <sz val="12"/>
      <name val="Times New Roman"/>
      <family val="1"/>
    </font>
    <font>
      <b/>
      <sz val="12"/>
      <color indexed="9"/>
      <name val="Times New Roman"/>
      <family val="1"/>
    </font>
    <font>
      <sz val="14"/>
      <color indexed="81"/>
      <name val="Times New Roman"/>
      <family val="1"/>
    </font>
    <font>
      <sz val="12"/>
      <color indexed="56"/>
      <name val="Times New Roman"/>
      <family val="1"/>
    </font>
    <font>
      <b/>
      <sz val="10"/>
      <color indexed="9"/>
      <name val="Times New Roman"/>
      <family val="1"/>
    </font>
    <font>
      <b/>
      <sz val="14"/>
      <color indexed="10"/>
      <name val="Arial"/>
      <family val="2"/>
    </font>
    <font>
      <sz val="10"/>
      <color indexed="10"/>
      <name val="Arial"/>
      <family val="2"/>
    </font>
    <font>
      <sz val="12"/>
      <name val="Arial"/>
      <family val="2"/>
    </font>
    <font>
      <sz val="10"/>
      <color indexed="9"/>
      <name val="Arial"/>
      <family val="2"/>
    </font>
    <font>
      <sz val="12"/>
      <color indexed="9"/>
      <name val="Arial"/>
      <family val="2"/>
    </font>
    <font>
      <sz val="12"/>
      <color indexed="10"/>
      <name val="Arial"/>
      <family val="2"/>
    </font>
    <font>
      <b/>
      <sz val="12"/>
      <color indexed="9"/>
      <name val="Arial"/>
      <family val="2"/>
    </font>
    <font>
      <b/>
      <sz val="12"/>
      <color indexed="9"/>
      <name val="Arial"/>
      <family val="2"/>
    </font>
    <font>
      <sz val="9"/>
      <name val="Times New Roman"/>
      <family val="1"/>
    </font>
    <font>
      <b/>
      <sz val="9"/>
      <color indexed="56"/>
      <name val="Times New Roman"/>
      <family val="1"/>
    </font>
    <font>
      <sz val="9"/>
      <color indexed="8"/>
      <name val="Times New Roman"/>
      <family val="1"/>
    </font>
    <font>
      <sz val="9"/>
      <color indexed="56"/>
      <name val="Times New Roman"/>
      <family val="1"/>
    </font>
    <font>
      <b/>
      <sz val="9"/>
      <name val="Times New Roman"/>
      <family val="1"/>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45"/>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7"/>
        <bgColor indexed="64"/>
      </patternFill>
    </fill>
    <fill>
      <patternFill patternType="solid">
        <fgColor indexed="42"/>
        <bgColor indexed="64"/>
      </patternFill>
    </fill>
    <fill>
      <patternFill patternType="solid">
        <fgColor indexed="10"/>
        <bgColor indexed="64"/>
      </patternFill>
    </fill>
    <fill>
      <patternFill patternType="solid">
        <fgColor indexed="26"/>
      </patternFill>
    </fill>
    <fill>
      <patternFill patternType="solid">
        <fgColor indexed="9"/>
      </patternFill>
    </fill>
    <fill>
      <patternFill patternType="solid">
        <fgColor indexed="40"/>
        <bgColor indexed="64"/>
      </patternFill>
    </fill>
    <fill>
      <patternFill patternType="solid">
        <fgColor indexed="17"/>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s>
  <cellStyleXfs count="3">
    <xf numFmtId="0" fontId="0" fillId="0" borderId="0"/>
    <xf numFmtId="0" fontId="82" fillId="0" borderId="0" applyNumberFormat="0" applyFill="0" applyBorder="0" applyAlignment="0" applyProtection="0">
      <alignment vertical="top"/>
      <protection locked="0"/>
    </xf>
    <xf numFmtId="9" fontId="2" fillId="0" borderId="0" applyFont="0" applyFill="0" applyBorder="0" applyAlignment="0" applyProtection="0"/>
  </cellStyleXfs>
  <cellXfs count="938">
    <xf numFmtId="0" fontId="0" fillId="0" borderId="0" xfId="0"/>
    <xf numFmtId="0" fontId="3" fillId="2" borderId="1" xfId="0" applyFont="1" applyFill="1" applyBorder="1" applyAlignment="1">
      <alignment horizontal="centerContinuous"/>
    </xf>
    <xf numFmtId="0" fontId="3" fillId="2" borderId="2" xfId="0" applyFont="1" applyFill="1" applyBorder="1" applyAlignment="1">
      <alignment horizontal="centerContinuous"/>
    </xf>
    <xf numFmtId="0" fontId="3" fillId="2" borderId="3" xfId="0" applyFont="1" applyFill="1" applyBorder="1" applyAlignment="1">
      <alignment horizontal="centerContinuous"/>
    </xf>
    <xf numFmtId="2" fontId="7" fillId="0" borderId="4" xfId="0" applyNumberFormat="1" applyFont="1" applyBorder="1" applyAlignment="1" applyProtection="1">
      <alignment horizontal="center"/>
      <protection hidden="1"/>
    </xf>
    <xf numFmtId="0" fontId="0" fillId="0" borderId="0" xfId="0" applyBorder="1"/>
    <xf numFmtId="0" fontId="9" fillId="3" borderId="4" xfId="0" applyFont="1" applyFill="1" applyBorder="1" applyAlignment="1">
      <alignment horizontal="centerContinuous"/>
    </xf>
    <xf numFmtId="0" fontId="0" fillId="3" borderId="4" xfId="0" applyFill="1" applyBorder="1" applyAlignment="1">
      <alignment horizontal="centerContinuous"/>
    </xf>
    <xf numFmtId="0" fontId="0" fillId="0" borderId="4" xfId="0" applyBorder="1" applyAlignment="1">
      <alignment horizontal="centerContinuous"/>
    </xf>
    <xf numFmtId="0" fontId="0" fillId="0" borderId="5" xfId="0" applyBorder="1"/>
    <xf numFmtId="0" fontId="13" fillId="0" borderId="4" xfId="0" applyFont="1" applyBorder="1" applyAlignment="1" applyProtection="1">
      <alignment horizontal="center"/>
      <protection hidden="1"/>
    </xf>
    <xf numFmtId="0" fontId="1" fillId="0" borderId="4" xfId="0" applyFont="1" applyBorder="1" applyAlignment="1" applyProtection="1">
      <alignment horizontal="center"/>
      <protection hidden="1"/>
    </xf>
    <xf numFmtId="0" fontId="16" fillId="2" borderId="4" xfId="0" applyFont="1" applyFill="1" applyBorder="1" applyAlignment="1">
      <alignment horizontal="center"/>
    </xf>
    <xf numFmtId="0" fontId="16" fillId="2" borderId="4" xfId="0" applyFont="1" applyFill="1" applyBorder="1" applyAlignment="1">
      <alignment horizontal="centerContinuous"/>
    </xf>
    <xf numFmtId="0" fontId="16" fillId="2" borderId="6" xfId="0" applyFont="1" applyFill="1" applyBorder="1" applyAlignment="1">
      <alignment horizontal="centerContinuous"/>
    </xf>
    <xf numFmtId="0" fontId="17" fillId="0" borderId="4" xfId="0" applyFont="1" applyBorder="1" applyAlignment="1" applyProtection="1">
      <alignment horizontal="center"/>
      <protection hidden="1"/>
    </xf>
    <xf numFmtId="0" fontId="18" fillId="0" borderId="4" xfId="0" applyFont="1" applyBorder="1" applyAlignment="1" applyProtection="1">
      <alignment horizontal="center"/>
      <protection hidden="1"/>
    </xf>
    <xf numFmtId="1" fontId="13" fillId="0" borderId="4" xfId="0" applyNumberFormat="1" applyFont="1" applyBorder="1" applyAlignment="1" applyProtection="1">
      <alignment horizontal="center"/>
      <protection hidden="1"/>
    </xf>
    <xf numFmtId="0" fontId="19" fillId="4" borderId="4" xfId="0" applyFont="1" applyFill="1" applyBorder="1" applyAlignment="1">
      <alignment horizontal="center"/>
    </xf>
    <xf numFmtId="0" fontId="10" fillId="4" borderId="4" xfId="0" applyFont="1" applyFill="1" applyBorder="1" applyAlignment="1">
      <alignment horizontal="center"/>
    </xf>
    <xf numFmtId="0" fontId="0" fillId="5" borderId="7" xfId="0" applyFill="1" applyBorder="1"/>
    <xf numFmtId="0" fontId="0" fillId="5" borderId="8" xfId="0" applyFill="1" applyBorder="1"/>
    <xf numFmtId="0" fontId="0" fillId="5" borderId="8" xfId="0" applyFill="1" applyBorder="1" applyAlignment="1">
      <alignment horizontal="center"/>
    </xf>
    <xf numFmtId="0" fontId="20" fillId="5" borderId="8" xfId="0" applyFont="1" applyFill="1" applyBorder="1" applyAlignment="1">
      <alignment horizontal="center"/>
    </xf>
    <xf numFmtId="0" fontId="0" fillId="5" borderId="9" xfId="0" applyFill="1" applyBorder="1"/>
    <xf numFmtId="0" fontId="19" fillId="0" borderId="10" xfId="0" applyFont="1" applyBorder="1" applyAlignment="1">
      <alignment horizontal="centerContinuous"/>
    </xf>
    <xf numFmtId="0" fontId="19" fillId="0" borderId="6" xfId="0" applyFont="1" applyBorder="1" applyAlignment="1">
      <alignment horizontal="centerContinuous"/>
    </xf>
    <xf numFmtId="0" fontId="17" fillId="5" borderId="8" xfId="0" applyFont="1" applyFill="1" applyBorder="1" applyAlignment="1">
      <alignment horizontal="center"/>
    </xf>
    <xf numFmtId="0" fontId="20" fillId="5" borderId="9" xfId="0" applyFont="1" applyFill="1" applyBorder="1" applyAlignment="1">
      <alignment horizontal="center"/>
    </xf>
    <xf numFmtId="1" fontId="24" fillId="0" borderId="4" xfId="0" applyNumberFormat="1" applyFont="1" applyBorder="1" applyAlignment="1" applyProtection="1">
      <alignment horizontal="center"/>
      <protection hidden="1"/>
    </xf>
    <xf numFmtId="0" fontId="21" fillId="0" borderId="0" xfId="0" applyFont="1" applyBorder="1" applyAlignment="1" applyProtection="1">
      <alignment horizontal="left"/>
      <protection hidden="1"/>
    </xf>
    <xf numFmtId="0" fontId="0" fillId="0" borderId="6" xfId="0" applyBorder="1"/>
    <xf numFmtId="0" fontId="0" fillId="0" borderId="10" xfId="0" applyBorder="1" applyAlignment="1" applyProtection="1">
      <alignment horizontal="center"/>
      <protection hidden="1"/>
    </xf>
    <xf numFmtId="0" fontId="16" fillId="2" borderId="10" xfId="0" applyFont="1" applyFill="1" applyBorder="1" applyAlignment="1">
      <alignment horizontal="centerContinuous"/>
    </xf>
    <xf numFmtId="0" fontId="0" fillId="0" borderId="6" xfId="0" applyBorder="1" applyAlignment="1">
      <alignment horizontal="centerContinuous"/>
    </xf>
    <xf numFmtId="0" fontId="19" fillId="6" borderId="0" xfId="0" applyFont="1" applyFill="1" applyBorder="1" applyAlignment="1">
      <alignment horizontal="centerContinuous"/>
    </xf>
    <xf numFmtId="0" fontId="0" fillId="6" borderId="0" xfId="0" applyFill="1" applyBorder="1" applyAlignment="1">
      <alignment horizontal="centerContinuous"/>
    </xf>
    <xf numFmtId="0" fontId="1" fillId="5" borderId="8" xfId="0" applyFont="1" applyFill="1" applyBorder="1" applyAlignment="1">
      <alignment horizontal="center"/>
    </xf>
    <xf numFmtId="0" fontId="20" fillId="5" borderId="9" xfId="0" applyFont="1" applyFill="1" applyBorder="1" applyAlignment="1">
      <alignment horizontal="centerContinuous"/>
    </xf>
    <xf numFmtId="0" fontId="20" fillId="5" borderId="4" xfId="0" applyFont="1" applyFill="1" applyBorder="1" applyAlignment="1">
      <alignment horizontal="centerContinuous"/>
    </xf>
    <xf numFmtId="0" fontId="0" fillId="0" borderId="3" xfId="0" applyBorder="1" applyAlignment="1">
      <alignment horizontal="centerContinuous"/>
    </xf>
    <xf numFmtId="2" fontId="6" fillId="0" borderId="4" xfId="0" applyNumberFormat="1" applyFont="1" applyFill="1" applyBorder="1" applyAlignment="1" applyProtection="1">
      <alignment horizontal="center"/>
      <protection hidden="1"/>
    </xf>
    <xf numFmtId="0" fontId="27" fillId="3" borderId="4" xfId="0" applyFont="1" applyFill="1" applyBorder="1" applyAlignment="1">
      <alignment horizontal="centerContinuous"/>
    </xf>
    <xf numFmtId="0" fontId="19" fillId="0" borderId="0" xfId="0" applyFont="1" applyBorder="1" applyAlignment="1">
      <alignment horizontal="centerContinuous"/>
    </xf>
    <xf numFmtId="0" fontId="20" fillId="0" borderId="0" xfId="0" applyFont="1" applyFill="1" applyBorder="1" applyAlignment="1">
      <alignment horizontal="centerContinuous"/>
    </xf>
    <xf numFmtId="171" fontId="30" fillId="0" borderId="11" xfId="0" applyNumberFormat="1" applyFont="1" applyBorder="1" applyAlignment="1" applyProtection="1">
      <alignment horizontal="center"/>
      <protection hidden="1"/>
    </xf>
    <xf numFmtId="0" fontId="31" fillId="3" borderId="0" xfId="0" applyFont="1" applyFill="1" applyAlignment="1" applyProtection="1">
      <alignment horizontal="centerContinuous"/>
      <protection hidden="1"/>
    </xf>
    <xf numFmtId="2" fontId="32" fillId="3" borderId="4" xfId="0" applyNumberFormat="1" applyFont="1" applyFill="1" applyBorder="1" applyAlignment="1" applyProtection="1">
      <alignment horizontal="center"/>
      <protection hidden="1"/>
    </xf>
    <xf numFmtId="0" fontId="31" fillId="3" borderId="6" xfId="0" applyFont="1" applyFill="1" applyBorder="1" applyProtection="1">
      <protection hidden="1"/>
    </xf>
    <xf numFmtId="0" fontId="33" fillId="0" borderId="10" xfId="0" applyFont="1" applyBorder="1" applyAlignment="1">
      <alignment horizontal="centerContinuous"/>
    </xf>
    <xf numFmtId="0" fontId="18" fillId="5" borderId="9" xfId="0" applyFont="1" applyFill="1" applyBorder="1" applyAlignment="1">
      <alignment horizontal="center"/>
    </xf>
    <xf numFmtId="0" fontId="18" fillId="5" borderId="12" xfId="0" applyFont="1" applyFill="1" applyBorder="1" applyAlignment="1">
      <alignment horizontal="center"/>
    </xf>
    <xf numFmtId="0" fontId="6" fillId="0" borderId="0" xfId="0" applyFont="1" applyAlignment="1" applyProtection="1">
      <alignment horizontal="center"/>
      <protection hidden="1"/>
    </xf>
    <xf numFmtId="172" fontId="7" fillId="0" borderId="4" xfId="0" applyNumberFormat="1" applyFont="1" applyBorder="1" applyAlignment="1" applyProtection="1">
      <alignment horizontal="center"/>
      <protection hidden="1"/>
    </xf>
    <xf numFmtId="173" fontId="7" fillId="0" borderId="4" xfId="0" applyNumberFormat="1" applyFont="1" applyBorder="1" applyAlignment="1" applyProtection="1">
      <alignment horizontal="center"/>
      <protection hidden="1"/>
    </xf>
    <xf numFmtId="175" fontId="7" fillId="0" borderId="13" xfId="0" applyNumberFormat="1" applyFont="1" applyBorder="1" applyAlignment="1" applyProtection="1">
      <alignment horizontal="centerContinuous"/>
      <protection hidden="1"/>
    </xf>
    <xf numFmtId="0" fontId="0" fillId="0" borderId="14" xfId="0" applyBorder="1"/>
    <xf numFmtId="1" fontId="7" fillId="0" borderId="4" xfId="0" applyNumberFormat="1" applyFont="1" applyBorder="1" applyAlignment="1" applyProtection="1">
      <alignment horizontal="center"/>
      <protection hidden="1"/>
    </xf>
    <xf numFmtId="0" fontId="24" fillId="2" borderId="9" xfId="0" applyFont="1" applyFill="1" applyBorder="1" applyAlignment="1">
      <alignment horizontal="center"/>
    </xf>
    <xf numFmtId="2" fontId="7" fillId="0" borderId="9" xfId="0" applyNumberFormat="1" applyFont="1" applyBorder="1" applyAlignment="1" applyProtection="1">
      <alignment horizontal="center"/>
      <protection hidden="1"/>
    </xf>
    <xf numFmtId="0" fontId="29" fillId="0" borderId="15" xfId="0" applyFont="1" applyBorder="1" applyAlignment="1" applyProtection="1">
      <alignment horizontal="center"/>
      <protection locked="0"/>
    </xf>
    <xf numFmtId="169" fontId="42" fillId="0" borderId="16" xfId="0" applyNumberFormat="1" applyFont="1" applyBorder="1" applyAlignment="1" applyProtection="1">
      <alignment horizontal="center"/>
      <protection hidden="1"/>
    </xf>
    <xf numFmtId="0" fontId="0" fillId="0" borderId="0" xfId="0" applyAlignment="1">
      <alignment horizontal="center"/>
    </xf>
    <xf numFmtId="0" fontId="8" fillId="4" borderId="4" xfId="0" applyFont="1" applyFill="1" applyBorder="1" applyAlignment="1" applyProtection="1">
      <alignment horizontal="center"/>
      <protection locked="0"/>
    </xf>
    <xf numFmtId="0" fontId="8" fillId="4" borderId="8" xfId="0" applyFont="1" applyFill="1" applyBorder="1" applyAlignment="1" applyProtection="1">
      <alignment horizontal="center"/>
      <protection locked="0"/>
    </xf>
    <xf numFmtId="0" fontId="8" fillId="4" borderId="9" xfId="0" applyFont="1" applyFill="1" applyBorder="1" applyAlignment="1" applyProtection="1">
      <alignment horizontal="center"/>
      <protection locked="0"/>
    </xf>
    <xf numFmtId="0" fontId="6" fillId="7" borderId="15" xfId="0" applyFont="1" applyFill="1" applyBorder="1" applyAlignment="1" applyProtection="1">
      <alignment horizontal="center" vertical="center" textRotation="90"/>
      <protection hidden="1"/>
    </xf>
    <xf numFmtId="0" fontId="6" fillId="5" borderId="15" xfId="0" applyFont="1" applyFill="1" applyBorder="1" applyAlignment="1" applyProtection="1">
      <alignment horizontal="center" vertical="center" textRotation="90"/>
      <protection hidden="1"/>
    </xf>
    <xf numFmtId="0" fontId="6" fillId="2" borderId="15" xfId="0" applyFont="1" applyFill="1" applyBorder="1" applyAlignment="1" applyProtection="1">
      <alignment horizontal="center" vertical="center" textRotation="90"/>
      <protection hidden="1"/>
    </xf>
    <xf numFmtId="2" fontId="6" fillId="5" borderId="17" xfId="0" applyNumberFormat="1" applyFont="1" applyFill="1" applyBorder="1" applyAlignment="1" applyProtection="1">
      <alignment horizontal="center" vertical="center" textRotation="90"/>
      <protection hidden="1"/>
    </xf>
    <xf numFmtId="0" fontId="0" fillId="0" borderId="0" xfId="0" applyProtection="1">
      <protection hidden="1"/>
    </xf>
    <xf numFmtId="0" fontId="6" fillId="7" borderId="17" xfId="0" applyFont="1" applyFill="1" applyBorder="1" applyAlignment="1" applyProtection="1">
      <alignment horizontal="center" vertical="center" textRotation="90"/>
      <protection hidden="1"/>
    </xf>
    <xf numFmtId="176" fontId="17" fillId="8" borderId="0" xfId="0" applyNumberFormat="1" applyFont="1" applyFill="1" applyAlignment="1" applyProtection="1">
      <alignment horizontal="center"/>
      <protection hidden="1"/>
    </xf>
    <xf numFmtId="0" fontId="0" fillId="9" borderId="8" xfId="0" applyFill="1" applyBorder="1" applyProtection="1">
      <protection hidden="1"/>
    </xf>
    <xf numFmtId="176" fontId="17" fillId="8" borderId="7" xfId="0" applyNumberFormat="1" applyFont="1" applyFill="1" applyBorder="1" applyAlignment="1" applyProtection="1">
      <alignment horizontal="center"/>
      <protection hidden="1"/>
    </xf>
    <xf numFmtId="0" fontId="44" fillId="9" borderId="8" xfId="0" applyFont="1" applyFill="1" applyBorder="1" applyAlignment="1" applyProtection="1">
      <alignment horizontal="center"/>
      <protection hidden="1"/>
    </xf>
    <xf numFmtId="176" fontId="17" fillId="8" borderId="8" xfId="0" applyNumberFormat="1" applyFont="1" applyFill="1" applyBorder="1" applyAlignment="1" applyProtection="1">
      <alignment horizontal="center"/>
      <protection hidden="1"/>
    </xf>
    <xf numFmtId="0" fontId="45" fillId="0" borderId="0" xfId="0" applyFont="1" applyProtection="1">
      <protection hidden="1"/>
    </xf>
    <xf numFmtId="0" fontId="45" fillId="0" borderId="8" xfId="0" applyFont="1" applyBorder="1" applyProtection="1">
      <protection hidden="1"/>
    </xf>
    <xf numFmtId="0" fontId="7" fillId="9" borderId="8" xfId="0" applyFont="1" applyFill="1" applyBorder="1" applyAlignment="1" applyProtection="1">
      <alignment horizontal="center"/>
      <protection hidden="1"/>
    </xf>
    <xf numFmtId="0" fontId="45" fillId="9" borderId="8" xfId="0" applyFont="1" applyFill="1" applyBorder="1" applyAlignment="1" applyProtection="1">
      <alignment horizontal="center"/>
      <protection hidden="1"/>
    </xf>
    <xf numFmtId="0" fontId="7" fillId="9" borderId="9" xfId="0" applyFont="1" applyFill="1" applyBorder="1" applyAlignment="1" applyProtection="1">
      <alignment horizontal="center"/>
      <protection hidden="1"/>
    </xf>
    <xf numFmtId="0" fontId="45" fillId="9" borderId="9" xfId="0" applyFont="1" applyFill="1" applyBorder="1" applyAlignment="1" applyProtection="1">
      <alignment horizontal="center"/>
      <protection hidden="1"/>
    </xf>
    <xf numFmtId="176" fontId="17" fillId="8" borderId="9" xfId="0" applyNumberFormat="1" applyFont="1" applyFill="1" applyBorder="1" applyAlignment="1" applyProtection="1">
      <alignment horizontal="center"/>
      <protection hidden="1"/>
    </xf>
    <xf numFmtId="176" fontId="17" fillId="7" borderId="4" xfId="0" applyNumberFormat="1" applyFont="1" applyFill="1" applyBorder="1" applyAlignment="1" applyProtection="1">
      <alignment horizontal="center"/>
      <protection hidden="1"/>
    </xf>
    <xf numFmtId="0" fontId="7" fillId="3" borderId="6" xfId="0" applyFont="1" applyFill="1" applyBorder="1" applyAlignment="1" applyProtection="1">
      <alignment horizontal="center"/>
      <protection hidden="1"/>
    </xf>
    <xf numFmtId="0" fontId="45" fillId="0" borderId="4" xfId="0" applyFont="1" applyBorder="1" applyAlignment="1" applyProtection="1">
      <alignment horizontal="center"/>
      <protection hidden="1"/>
    </xf>
    <xf numFmtId="2" fontId="6" fillId="5" borderId="4" xfId="0" applyNumberFormat="1" applyFont="1" applyFill="1" applyBorder="1" applyAlignment="1" applyProtection="1">
      <alignment horizontal="center"/>
      <protection hidden="1"/>
    </xf>
    <xf numFmtId="0" fontId="36" fillId="0" borderId="4" xfId="0" applyFont="1" applyBorder="1" applyAlignment="1" applyProtection="1">
      <alignment horizontal="center"/>
      <protection hidden="1"/>
    </xf>
    <xf numFmtId="0" fontId="8" fillId="0" borderId="4" xfId="0" applyFont="1" applyBorder="1" applyAlignment="1" applyProtection="1">
      <alignment horizontal="center"/>
      <protection hidden="1"/>
    </xf>
    <xf numFmtId="176" fontId="17" fillId="0" borderId="4" xfId="0" applyNumberFormat="1" applyFont="1" applyBorder="1" applyAlignment="1" applyProtection="1">
      <alignment horizontal="center"/>
      <protection hidden="1"/>
    </xf>
    <xf numFmtId="0" fontId="7" fillId="3" borderId="4" xfId="0" applyFont="1" applyFill="1" applyBorder="1" applyAlignment="1" applyProtection="1">
      <alignment horizontal="center"/>
      <protection hidden="1"/>
    </xf>
    <xf numFmtId="2" fontId="6" fillId="9" borderId="4" xfId="0" applyNumberFormat="1" applyFont="1" applyFill="1" applyBorder="1" applyAlignment="1" applyProtection="1">
      <alignment horizontal="center"/>
      <protection hidden="1"/>
    </xf>
    <xf numFmtId="0" fontId="0" fillId="0" borderId="0" xfId="0" applyAlignment="1" applyProtection="1">
      <alignment horizontal="center"/>
      <protection hidden="1"/>
    </xf>
    <xf numFmtId="2" fontId="0" fillId="0" borderId="0" xfId="0" applyNumberFormat="1" applyProtection="1">
      <protection hidden="1"/>
    </xf>
    <xf numFmtId="0" fontId="0" fillId="0" borderId="0" xfId="0" applyProtection="1">
      <protection locked="0"/>
    </xf>
    <xf numFmtId="0" fontId="24" fillId="4" borderId="8" xfId="0" applyFont="1" applyFill="1" applyBorder="1" applyAlignment="1" applyProtection="1">
      <alignment horizontal="center"/>
      <protection locked="0"/>
    </xf>
    <xf numFmtId="0" fontId="24" fillId="4" borderId="17" xfId="0" applyFont="1" applyFill="1" applyBorder="1" applyAlignment="1" applyProtection="1">
      <alignment horizontal="center" vertical="center" textRotation="90"/>
      <protection locked="0"/>
    </xf>
    <xf numFmtId="0" fontId="15" fillId="0" borderId="18" xfId="0" applyFont="1" applyFill="1" applyBorder="1" applyAlignment="1" applyProtection="1">
      <alignment horizontal="centerContinuous"/>
      <protection hidden="1"/>
    </xf>
    <xf numFmtId="0" fontId="15" fillId="0" borderId="5" xfId="0" applyFont="1" applyFill="1" applyBorder="1" applyAlignment="1" applyProtection="1">
      <alignment horizontal="centerContinuous"/>
      <protection hidden="1"/>
    </xf>
    <xf numFmtId="0" fontId="24" fillId="2" borderId="8" xfId="0" applyFont="1" applyFill="1" applyBorder="1" applyAlignment="1">
      <alignment horizontal="center"/>
    </xf>
    <xf numFmtId="0" fontId="0" fillId="0" borderId="4" xfId="0" applyBorder="1" applyAlignment="1">
      <alignment horizontal="center"/>
    </xf>
    <xf numFmtId="176" fontId="17" fillId="9" borderId="0" xfId="0" applyNumberFormat="1" applyFont="1" applyFill="1" applyAlignment="1" applyProtection="1">
      <alignment horizontal="center"/>
      <protection hidden="1"/>
    </xf>
    <xf numFmtId="0" fontId="6" fillId="9" borderId="0" xfId="0" applyFont="1" applyFill="1" applyBorder="1" applyAlignment="1" applyProtection="1">
      <alignment horizontal="center" vertical="center" textRotation="90"/>
      <protection hidden="1"/>
    </xf>
    <xf numFmtId="2" fontId="6" fillId="5" borderId="9" xfId="0" applyNumberFormat="1" applyFont="1" applyFill="1" applyBorder="1" applyAlignment="1" applyProtection="1">
      <alignment horizontal="center"/>
      <protection hidden="1"/>
    </xf>
    <xf numFmtId="2" fontId="6" fillId="9" borderId="7" xfId="0" applyNumberFormat="1" applyFont="1" applyFill="1" applyBorder="1" applyAlignment="1" applyProtection="1">
      <alignment horizontal="center" vertical="center" textRotation="90"/>
      <protection hidden="1"/>
    </xf>
    <xf numFmtId="0" fontId="24" fillId="4" borderId="7" xfId="0" applyFont="1" applyFill="1" applyBorder="1" applyAlignment="1" applyProtection="1">
      <alignment horizontal="center" vertical="center" textRotation="90"/>
      <protection locked="0"/>
    </xf>
    <xf numFmtId="0" fontId="45" fillId="9" borderId="8" xfId="0" applyFont="1" applyFill="1" applyBorder="1" applyProtection="1">
      <protection hidden="1"/>
    </xf>
    <xf numFmtId="0" fontId="6" fillId="2" borderId="17" xfId="0" applyFont="1" applyFill="1" applyBorder="1" applyAlignment="1" applyProtection="1">
      <alignment horizontal="center" vertical="center" textRotation="90"/>
      <protection hidden="1"/>
    </xf>
    <xf numFmtId="0" fontId="44" fillId="2" borderId="17" xfId="0" applyFont="1" applyFill="1" applyBorder="1" applyAlignment="1" applyProtection="1">
      <alignment horizontal="center" vertical="center" textRotation="90"/>
      <protection hidden="1"/>
    </xf>
    <xf numFmtId="0" fontId="13" fillId="9" borderId="8" xfId="0" applyFont="1" applyFill="1" applyBorder="1" applyAlignment="1" applyProtection="1">
      <alignment horizontal="center"/>
      <protection hidden="1"/>
    </xf>
    <xf numFmtId="0" fontId="6" fillId="9" borderId="7" xfId="0" applyFont="1" applyFill="1" applyBorder="1" applyAlignment="1" applyProtection="1">
      <alignment horizontal="center" vertical="center" textRotation="90"/>
      <protection hidden="1"/>
    </xf>
    <xf numFmtId="0" fontId="44" fillId="9" borderId="7" xfId="0" applyFont="1" applyFill="1" applyBorder="1" applyAlignment="1" applyProtection="1">
      <alignment horizontal="center" vertical="center" textRotation="90"/>
      <protection hidden="1"/>
    </xf>
    <xf numFmtId="176" fontId="17" fillId="7" borderId="9" xfId="0" applyNumberFormat="1" applyFont="1" applyFill="1" applyBorder="1" applyAlignment="1" applyProtection="1">
      <alignment horizontal="center"/>
      <protection hidden="1"/>
    </xf>
    <xf numFmtId="0" fontId="0" fillId="9" borderId="12" xfId="0" applyFill="1" applyBorder="1" applyProtection="1">
      <protection hidden="1"/>
    </xf>
    <xf numFmtId="0" fontId="13" fillId="9" borderId="0" xfId="0" applyFont="1" applyFill="1" applyBorder="1" applyAlignment="1" applyProtection="1">
      <alignment horizontal="center"/>
      <protection hidden="1"/>
    </xf>
    <xf numFmtId="0" fontId="7" fillId="9" borderId="12" xfId="0" applyFont="1" applyFill="1" applyBorder="1" applyAlignment="1" applyProtection="1">
      <alignment horizontal="center"/>
      <protection hidden="1"/>
    </xf>
    <xf numFmtId="0" fontId="7" fillId="9" borderId="18" xfId="0" applyFont="1" applyFill="1" applyBorder="1" applyAlignment="1" applyProtection="1">
      <alignment horizontal="center"/>
      <protection hidden="1"/>
    </xf>
    <xf numFmtId="0" fontId="24" fillId="9" borderId="9" xfId="0" applyFont="1" applyFill="1" applyBorder="1" applyAlignment="1">
      <alignment horizontal="center"/>
    </xf>
    <xf numFmtId="0" fontId="39" fillId="3" borderId="10" xfId="0" applyFont="1" applyFill="1" applyBorder="1" applyAlignment="1">
      <alignment horizontal="centerContinuous"/>
    </xf>
    <xf numFmtId="0" fontId="39" fillId="3" borderId="19" xfId="0" applyFont="1" applyFill="1" applyBorder="1" applyAlignment="1">
      <alignment horizontal="centerContinuous"/>
    </xf>
    <xf numFmtId="0" fontId="26" fillId="0" borderId="0" xfId="0" applyFont="1" applyFill="1" applyBorder="1" applyAlignment="1">
      <alignment horizontal="centerContinuous"/>
    </xf>
    <xf numFmtId="0" fontId="46" fillId="0" borderId="0" xfId="0" applyFont="1" applyAlignment="1">
      <alignment horizontal="right"/>
    </xf>
    <xf numFmtId="0" fontId="6" fillId="0" borderId="4" xfId="0" applyFont="1" applyBorder="1" applyAlignment="1">
      <alignment horizontal="center"/>
    </xf>
    <xf numFmtId="0" fontId="6" fillId="0" borderId="0" xfId="0" applyFont="1" applyBorder="1" applyAlignment="1">
      <alignment horizontal="center"/>
    </xf>
    <xf numFmtId="0" fontId="14" fillId="0" borderId="0" xfId="0" applyFont="1" applyBorder="1" applyAlignment="1">
      <alignment horizontal="center"/>
    </xf>
    <xf numFmtId="0" fontId="0" fillId="0" borderId="0" xfId="0" applyBorder="1" applyAlignment="1">
      <alignment horizontal="center"/>
    </xf>
    <xf numFmtId="168" fontId="47" fillId="0" borderId="4" xfId="0" applyNumberFormat="1" applyFont="1" applyBorder="1" applyAlignment="1" applyProtection="1">
      <alignment horizontal="center"/>
      <protection hidden="1"/>
    </xf>
    <xf numFmtId="0" fontId="38" fillId="0" borderId="0" xfId="0" applyFont="1"/>
    <xf numFmtId="0" fontId="1" fillId="0" borderId="4" xfId="0" applyFont="1" applyBorder="1" applyAlignment="1">
      <alignment horizontal="center"/>
    </xf>
    <xf numFmtId="0" fontId="14" fillId="10" borderId="4" xfId="0" applyFont="1" applyFill="1" applyBorder="1" applyAlignment="1" applyProtection="1">
      <alignment horizontal="center"/>
      <protection locked="0"/>
    </xf>
    <xf numFmtId="0" fontId="37" fillId="0" borderId="0" xfId="0" applyFont="1"/>
    <xf numFmtId="168" fontId="48" fillId="0" borderId="20" xfId="0" applyNumberFormat="1" applyFont="1" applyBorder="1" applyAlignment="1" applyProtection="1">
      <alignment horizontal="center"/>
      <protection hidden="1"/>
    </xf>
    <xf numFmtId="0" fontId="1" fillId="11" borderId="9" xfId="0" applyFont="1" applyFill="1" applyBorder="1" applyAlignment="1">
      <alignment horizontal="center"/>
    </xf>
    <xf numFmtId="0" fontId="6" fillId="12" borderId="21" xfId="0" applyFont="1" applyFill="1" applyBorder="1" applyAlignment="1">
      <alignment horizontal="center"/>
    </xf>
    <xf numFmtId="0" fontId="6" fillId="12" borderId="22" xfId="0" applyFont="1" applyFill="1" applyBorder="1" applyAlignment="1">
      <alignment horizontal="center"/>
    </xf>
    <xf numFmtId="0" fontId="6" fillId="12" borderId="23" xfId="0" applyFont="1" applyFill="1" applyBorder="1" applyAlignment="1">
      <alignment horizontal="center"/>
    </xf>
    <xf numFmtId="0" fontId="0" fillId="0" borderId="24" xfId="0" applyBorder="1" applyAlignment="1">
      <alignment horizontal="center"/>
    </xf>
    <xf numFmtId="0" fontId="28" fillId="0" borderId="0" xfId="0" applyFont="1" applyBorder="1" applyAlignment="1" applyProtection="1">
      <alignment horizontal="center"/>
      <protection hidden="1"/>
    </xf>
    <xf numFmtId="0" fontId="28" fillId="0" borderId="4" xfId="0" applyFont="1" applyBorder="1" applyAlignment="1" applyProtection="1">
      <alignment horizontal="center"/>
      <protection hidden="1"/>
    </xf>
    <xf numFmtId="0" fontId="11" fillId="0" borderId="4" xfId="0" applyFont="1" applyBorder="1" applyAlignment="1" applyProtection="1">
      <alignment horizontal="center"/>
      <protection hidden="1"/>
    </xf>
    <xf numFmtId="21" fontId="8" fillId="0" borderId="4" xfId="0" applyNumberFormat="1" applyFont="1" applyBorder="1" applyAlignment="1" applyProtection="1">
      <alignment horizontal="center"/>
      <protection locked="0"/>
    </xf>
    <xf numFmtId="2" fontId="11" fillId="0" borderId="4" xfId="0" applyNumberFormat="1" applyFont="1" applyBorder="1" applyAlignment="1" applyProtection="1">
      <alignment horizontal="center"/>
      <protection hidden="1"/>
    </xf>
    <xf numFmtId="0" fontId="6" fillId="12" borderId="4" xfId="0" applyFont="1" applyFill="1" applyBorder="1" applyAlignment="1" applyProtection="1">
      <alignment horizontal="center" wrapText="1"/>
      <protection hidden="1"/>
    </xf>
    <xf numFmtId="0" fontId="6" fillId="5" borderId="4" xfId="0" applyFont="1" applyFill="1" applyBorder="1" applyAlignment="1" applyProtection="1">
      <alignment horizontal="center" vertical="center"/>
      <protection hidden="1"/>
    </xf>
    <xf numFmtId="0" fontId="6" fillId="0" borderId="4" xfId="0" applyFont="1" applyBorder="1" applyAlignment="1" applyProtection="1">
      <alignment horizontal="center"/>
      <protection hidden="1"/>
    </xf>
    <xf numFmtId="169" fontId="11" fillId="0" borderId="4" xfId="0" applyNumberFormat="1" applyFont="1" applyBorder="1" applyAlignment="1" applyProtection="1">
      <alignment horizontal="center"/>
      <protection hidden="1"/>
    </xf>
    <xf numFmtId="0" fontId="6" fillId="0" borderId="0" xfId="0" applyFont="1" applyBorder="1" applyAlignment="1" applyProtection="1">
      <alignment horizontal="center"/>
      <protection hidden="1"/>
    </xf>
    <xf numFmtId="0" fontId="0" fillId="0" borderId="0" xfId="0" applyBorder="1" applyProtection="1">
      <protection hidden="1"/>
    </xf>
    <xf numFmtId="0" fontId="28" fillId="0" borderId="0" xfId="0" applyFont="1" applyAlignment="1" applyProtection="1">
      <alignment horizontal="center"/>
      <protection hidden="1"/>
    </xf>
    <xf numFmtId="0" fontId="6" fillId="5" borderId="4" xfId="0" applyFont="1" applyFill="1" applyBorder="1" applyAlignment="1" applyProtection="1">
      <alignment horizontal="center"/>
      <protection hidden="1"/>
    </xf>
    <xf numFmtId="0" fontId="36" fillId="13" borderId="9" xfId="0" applyFont="1" applyFill="1" applyBorder="1" applyAlignment="1" applyProtection="1">
      <alignment horizontal="center" vertical="center" wrapText="1"/>
      <protection hidden="1"/>
    </xf>
    <xf numFmtId="0" fontId="6" fillId="12" borderId="4" xfId="0" applyFont="1" applyFill="1" applyBorder="1" applyAlignment="1" applyProtection="1">
      <alignment horizontal="center"/>
      <protection hidden="1"/>
    </xf>
    <xf numFmtId="177" fontId="6" fillId="0" borderId="4" xfId="0" applyNumberFormat="1" applyFont="1" applyBorder="1" applyAlignment="1" applyProtection="1">
      <alignment horizontal="center"/>
      <protection hidden="1"/>
    </xf>
    <xf numFmtId="177" fontId="6" fillId="0" borderId="0" xfId="0" applyNumberFormat="1" applyFont="1" applyAlignment="1" applyProtection="1">
      <alignment horizontal="center"/>
      <protection hidden="1"/>
    </xf>
    <xf numFmtId="0" fontId="6" fillId="13" borderId="4"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28" fillId="0" borderId="4" xfId="0" applyFont="1" applyBorder="1" applyAlignment="1" applyProtection="1">
      <alignment horizontal="center" vertical="top" wrapText="1"/>
      <protection hidden="1"/>
    </xf>
    <xf numFmtId="0" fontId="0" fillId="0" borderId="4" xfId="0" applyBorder="1" applyAlignment="1" applyProtection="1">
      <alignment horizontal="center" vertical="top" wrapText="1"/>
      <protection hidden="1"/>
    </xf>
    <xf numFmtId="0" fontId="7" fillId="9" borderId="4" xfId="0" applyFont="1" applyFill="1" applyBorder="1" applyAlignment="1" applyProtection="1">
      <alignment horizontal="center"/>
      <protection hidden="1"/>
    </xf>
    <xf numFmtId="0" fontId="39" fillId="0" borderId="0" xfId="0" applyFont="1"/>
    <xf numFmtId="177" fontId="29" fillId="5" borderId="15" xfId="0" applyNumberFormat="1" applyFont="1" applyFill="1" applyBorder="1" applyAlignment="1" applyProtection="1">
      <alignment horizontal="center"/>
      <protection locked="0"/>
    </xf>
    <xf numFmtId="2" fontId="6" fillId="0" borderId="4" xfId="0" applyNumberFormat="1" applyFont="1" applyBorder="1" applyAlignment="1" applyProtection="1">
      <alignment horizontal="center"/>
      <protection hidden="1"/>
    </xf>
    <xf numFmtId="1" fontId="6" fillId="0" borderId="4" xfId="0" applyNumberFormat="1" applyFont="1" applyBorder="1" applyAlignment="1" applyProtection="1">
      <alignment horizontal="center"/>
      <protection hidden="1"/>
    </xf>
    <xf numFmtId="1" fontId="7" fillId="0" borderId="10" xfId="0" applyNumberFormat="1" applyFont="1" applyBorder="1" applyAlignment="1" applyProtection="1">
      <alignment horizontal="center"/>
      <protection hidden="1"/>
    </xf>
    <xf numFmtId="0" fontId="0" fillId="10" borderId="0" xfId="0" applyFill="1" applyAlignment="1">
      <alignment horizontal="center"/>
    </xf>
    <xf numFmtId="0" fontId="24" fillId="2" borderId="4" xfId="0" applyFont="1" applyFill="1" applyBorder="1" applyAlignment="1">
      <alignment horizontal="center"/>
    </xf>
    <xf numFmtId="0" fontId="13" fillId="14" borderId="4" xfId="0" applyFont="1" applyFill="1" applyBorder="1" applyAlignment="1" applyProtection="1">
      <alignment horizontal="center"/>
      <protection hidden="1"/>
    </xf>
    <xf numFmtId="0" fontId="29" fillId="0" borderId="4" xfId="0" applyFont="1" applyBorder="1" applyAlignment="1" applyProtection="1">
      <alignment horizontal="center"/>
      <protection locked="0"/>
    </xf>
    <xf numFmtId="0" fontId="6" fillId="5" borderId="0" xfId="0" applyFont="1" applyFill="1" applyAlignment="1">
      <alignment horizontal="center"/>
    </xf>
    <xf numFmtId="2" fontId="11" fillId="0" borderId="9" xfId="0" applyNumberFormat="1" applyFont="1" applyBorder="1" applyAlignment="1" applyProtection="1">
      <alignment horizontal="center"/>
      <protection locked="0" hidden="1"/>
    </xf>
    <xf numFmtId="2" fontId="0" fillId="0" borderId="4" xfId="0" applyNumberFormat="1" applyBorder="1" applyAlignment="1">
      <alignment horizontal="center"/>
    </xf>
    <xf numFmtId="169" fontId="6" fillId="13" borderId="4" xfId="0" applyNumberFormat="1" applyFont="1" applyFill="1" applyBorder="1" applyAlignment="1" applyProtection="1">
      <alignment horizontal="center"/>
      <protection hidden="1"/>
    </xf>
    <xf numFmtId="0" fontId="29" fillId="0" borderId="11" xfId="0" applyFont="1" applyBorder="1" applyAlignment="1" applyProtection="1">
      <alignment horizontal="centerContinuous"/>
      <protection locked="0"/>
    </xf>
    <xf numFmtId="0" fontId="0" fillId="9" borderId="0" xfId="0" applyFill="1"/>
    <xf numFmtId="0" fontId="21" fillId="9" borderId="0" xfId="0" applyFont="1" applyFill="1" applyBorder="1" applyAlignment="1" applyProtection="1">
      <alignment horizontal="left"/>
      <protection hidden="1"/>
    </xf>
    <xf numFmtId="0" fontId="6" fillId="9" borderId="0" xfId="0" applyFont="1" applyFill="1" applyBorder="1" applyAlignment="1" applyProtection="1">
      <alignment horizontal="right"/>
      <protection hidden="1"/>
    </xf>
    <xf numFmtId="0" fontId="21" fillId="9" borderId="21" xfId="0" applyFont="1" applyFill="1" applyBorder="1" applyAlignment="1" applyProtection="1">
      <alignment horizontal="left"/>
      <protection hidden="1"/>
    </xf>
    <xf numFmtId="0" fontId="0" fillId="9" borderId="25" xfId="0" applyFill="1" applyBorder="1"/>
    <xf numFmtId="0" fontId="0" fillId="9" borderId="26" xfId="0" applyFill="1" applyBorder="1"/>
    <xf numFmtId="2" fontId="6" fillId="9" borderId="24" xfId="0" applyNumberFormat="1" applyFont="1" applyFill="1" applyBorder="1" applyAlignment="1" applyProtection="1">
      <alignment horizontal="center"/>
      <protection hidden="1"/>
    </xf>
    <xf numFmtId="178" fontId="11" fillId="9" borderId="24" xfId="0" applyNumberFormat="1" applyFont="1" applyFill="1" applyBorder="1" applyAlignment="1" applyProtection="1">
      <alignment horizontal="center"/>
      <protection locked="0"/>
    </xf>
    <xf numFmtId="0" fontId="21" fillId="9" borderId="27" xfId="0" applyFont="1" applyFill="1" applyBorder="1" applyAlignment="1" applyProtection="1">
      <alignment horizontal="left"/>
      <protection hidden="1"/>
    </xf>
    <xf numFmtId="0" fontId="0" fillId="9" borderId="0" xfId="0" applyFill="1" applyBorder="1"/>
    <xf numFmtId="0" fontId="0" fillId="9" borderId="28" xfId="0" applyFill="1" applyBorder="1"/>
    <xf numFmtId="0" fontId="21" fillId="9" borderId="29" xfId="0" applyFont="1" applyFill="1" applyBorder="1" applyAlignment="1" applyProtection="1">
      <alignment horizontal="left"/>
      <protection hidden="1"/>
    </xf>
    <xf numFmtId="0" fontId="0" fillId="9" borderId="30" xfId="0" applyFill="1" applyBorder="1"/>
    <xf numFmtId="0" fontId="0" fillId="9" borderId="31" xfId="0" applyFill="1" applyBorder="1"/>
    <xf numFmtId="0" fontId="10" fillId="9" borderId="0" xfId="0" applyFont="1" applyFill="1" applyAlignment="1"/>
    <xf numFmtId="0" fontId="6" fillId="9" borderId="0" xfId="0" applyFont="1" applyFill="1" applyAlignment="1" applyProtection="1">
      <alignment horizontal="centerContinuous"/>
      <protection hidden="1"/>
    </xf>
    <xf numFmtId="0" fontId="6" fillId="9" borderId="0" xfId="0" applyFont="1" applyFill="1" applyAlignment="1">
      <alignment horizontal="centerContinuous"/>
    </xf>
    <xf numFmtId="0" fontId="25" fillId="9" borderId="0" xfId="0" applyFont="1" applyFill="1" applyAlignment="1" applyProtection="1">
      <alignment horizontal="centerContinuous"/>
      <protection hidden="1"/>
    </xf>
    <xf numFmtId="0" fontId="14" fillId="9" borderId="0" xfId="0" applyFont="1" applyFill="1" applyAlignment="1" applyProtection="1">
      <alignment horizontal="centerContinuous"/>
      <protection hidden="1"/>
    </xf>
    <xf numFmtId="0" fontId="21" fillId="9" borderId="4" xfId="0" applyFont="1" applyFill="1" applyBorder="1"/>
    <xf numFmtId="0" fontId="5" fillId="9" borderId="0" xfId="0" applyFont="1" applyFill="1"/>
    <xf numFmtId="0" fontId="5" fillId="9" borderId="0" xfId="0" applyFont="1" applyFill="1" applyAlignment="1">
      <alignment horizontal="right"/>
    </xf>
    <xf numFmtId="0" fontId="29" fillId="9" borderId="15" xfId="0" applyFont="1" applyFill="1" applyBorder="1" applyAlignment="1" applyProtection="1">
      <alignment horizontal="center"/>
      <protection locked="0"/>
    </xf>
    <xf numFmtId="0" fontId="10" fillId="9" borderId="0" xfId="0" applyFont="1" applyFill="1" applyAlignment="1">
      <alignment horizontal="centerContinuous"/>
    </xf>
    <xf numFmtId="0" fontId="4" fillId="9" borderId="0" xfId="0" applyFont="1" applyFill="1" applyBorder="1" applyAlignment="1" applyProtection="1">
      <alignment horizontal="centerContinuous"/>
      <protection hidden="1"/>
    </xf>
    <xf numFmtId="0" fontId="3" fillId="9" borderId="0" xfId="0" applyFont="1" applyFill="1" applyBorder="1" applyAlignment="1" applyProtection="1">
      <alignment horizontal="centerContinuous"/>
      <protection hidden="1"/>
    </xf>
    <xf numFmtId="0" fontId="41" fillId="9" borderId="15" xfId="0" applyFont="1" applyFill="1" applyBorder="1" applyAlignment="1" applyProtection="1">
      <protection locked="0"/>
    </xf>
    <xf numFmtId="0" fontId="41" fillId="9" borderId="17" xfId="0" applyFont="1" applyFill="1" applyBorder="1" applyAlignment="1" applyProtection="1">
      <protection locked="0"/>
    </xf>
    <xf numFmtId="0" fontId="12" fillId="9" borderId="0" xfId="0" applyFont="1" applyFill="1" applyAlignment="1"/>
    <xf numFmtId="0" fontId="28" fillId="9" borderId="0" xfId="0" applyFont="1" applyFill="1"/>
    <xf numFmtId="2" fontId="39" fillId="9" borderId="0" xfId="0" applyNumberFormat="1" applyFont="1" applyFill="1" applyBorder="1" applyAlignment="1" applyProtection="1">
      <alignment horizontal="center"/>
      <protection hidden="1"/>
    </xf>
    <xf numFmtId="177" fontId="6" fillId="9" borderId="4" xfId="0" applyNumberFormat="1" applyFont="1" applyFill="1" applyBorder="1" applyAlignment="1" applyProtection="1">
      <alignment horizontal="center"/>
      <protection hidden="1"/>
    </xf>
    <xf numFmtId="0" fontId="1" fillId="9" borderId="0" xfId="0" applyFont="1" applyFill="1" applyAlignment="1"/>
    <xf numFmtId="0" fontId="0" fillId="9" borderId="0" xfId="0" applyFill="1" applyBorder="1" applyAlignment="1">
      <alignment horizontal="centerContinuous"/>
    </xf>
    <xf numFmtId="0" fontId="15" fillId="9" borderId="5" xfId="0" applyFont="1" applyFill="1" applyBorder="1" applyAlignment="1" applyProtection="1">
      <alignment horizontal="centerContinuous"/>
      <protection hidden="1"/>
    </xf>
    <xf numFmtId="0" fontId="52" fillId="9" borderId="0" xfId="0" applyFont="1" applyFill="1" applyAlignment="1"/>
    <xf numFmtId="0" fontId="15" fillId="9" borderId="0" xfId="0" applyFont="1" applyFill="1" applyBorder="1" applyAlignment="1" applyProtection="1">
      <alignment horizontal="centerContinuous"/>
      <protection hidden="1"/>
    </xf>
    <xf numFmtId="0" fontId="0" fillId="9" borderId="5" xfId="0" applyFill="1" applyBorder="1"/>
    <xf numFmtId="0" fontId="1" fillId="9" borderId="8" xfId="0" applyFont="1" applyFill="1" applyBorder="1" applyAlignment="1">
      <alignment horizontal="center"/>
    </xf>
    <xf numFmtId="0" fontId="1" fillId="9" borderId="8" xfId="0" applyFont="1" applyFill="1" applyBorder="1" applyAlignment="1" applyProtection="1">
      <alignment horizontal="center"/>
      <protection hidden="1"/>
    </xf>
    <xf numFmtId="0" fontId="1" fillId="9" borderId="7" xfId="0" applyFont="1" applyFill="1" applyBorder="1"/>
    <xf numFmtId="0" fontId="1" fillId="9" borderId="9" xfId="0" applyFont="1" applyFill="1" applyBorder="1"/>
    <xf numFmtId="0" fontId="1" fillId="9" borderId="9" xfId="0" applyFont="1" applyFill="1" applyBorder="1" applyAlignment="1">
      <alignment horizontal="center"/>
    </xf>
    <xf numFmtId="0" fontId="1" fillId="9" borderId="7" xfId="0" applyFont="1" applyFill="1" applyBorder="1" applyAlignment="1">
      <alignment horizontal="center"/>
    </xf>
    <xf numFmtId="0" fontId="1" fillId="9" borderId="7" xfId="0" applyFont="1" applyFill="1" applyBorder="1" applyAlignment="1" applyProtection="1">
      <alignment horizontal="center"/>
      <protection hidden="1"/>
    </xf>
    <xf numFmtId="0" fontId="1" fillId="9" borderId="12" xfId="0" applyFont="1" applyFill="1" applyBorder="1" applyAlignment="1">
      <alignment horizontal="center"/>
    </xf>
    <xf numFmtId="0" fontId="0" fillId="9" borderId="9" xfId="0" applyFill="1" applyBorder="1"/>
    <xf numFmtId="0" fontId="20" fillId="9" borderId="19" xfId="0" applyFont="1" applyFill="1" applyBorder="1" applyAlignment="1">
      <alignment horizontal="centerContinuous"/>
    </xf>
    <xf numFmtId="0" fontId="20" fillId="9" borderId="0" xfId="0" applyFont="1" applyFill="1" applyBorder="1" applyAlignment="1" applyProtection="1">
      <alignment horizontal="centerContinuous"/>
      <protection hidden="1"/>
    </xf>
    <xf numFmtId="171" fontId="7" fillId="9" borderId="0" xfId="0" applyNumberFormat="1" applyFont="1" applyFill="1" applyBorder="1" applyAlignment="1" applyProtection="1">
      <alignment horizontal="right"/>
      <protection hidden="1"/>
    </xf>
    <xf numFmtId="171" fontId="7" fillId="9" borderId="0" xfId="0" applyNumberFormat="1" applyFont="1" applyFill="1" applyBorder="1" applyAlignment="1" applyProtection="1">
      <alignment horizontal="left"/>
      <protection hidden="1"/>
    </xf>
    <xf numFmtId="0" fontId="22" fillId="9" borderId="0" xfId="0" applyFont="1" applyFill="1" applyBorder="1" applyAlignment="1">
      <alignment horizontal="center"/>
    </xf>
    <xf numFmtId="0" fontId="7" fillId="9" borderId="0" xfId="0" applyFont="1" applyFill="1" applyAlignment="1">
      <alignment horizontal="centerContinuous"/>
    </xf>
    <xf numFmtId="0" fontId="14" fillId="9" borderId="0" xfId="0" applyFont="1" applyFill="1" applyAlignment="1">
      <alignment horizontal="centerContinuous"/>
    </xf>
    <xf numFmtId="0" fontId="21" fillId="9" borderId="29" xfId="0" applyFont="1" applyFill="1" applyBorder="1" applyAlignment="1">
      <alignment horizontal="center"/>
    </xf>
    <xf numFmtId="177" fontId="13" fillId="9" borderId="7" xfId="0" applyNumberFormat="1" applyFont="1" applyFill="1" applyBorder="1" applyAlignment="1" applyProtection="1">
      <alignment horizontal="center"/>
      <protection locked="0"/>
    </xf>
    <xf numFmtId="2" fontId="13" fillId="0" borderId="4" xfId="0" applyNumberFormat="1" applyFont="1" applyBorder="1" applyAlignment="1" applyProtection="1">
      <alignment horizontal="center"/>
      <protection hidden="1"/>
    </xf>
    <xf numFmtId="2" fontId="32" fillId="3" borderId="0" xfId="0" applyNumberFormat="1" applyFont="1" applyFill="1" applyAlignment="1" applyProtection="1">
      <alignment horizontal="center"/>
      <protection hidden="1"/>
    </xf>
    <xf numFmtId="2" fontId="36" fillId="0" borderId="4" xfId="0" applyNumberFormat="1" applyFont="1" applyBorder="1" applyAlignment="1" applyProtection="1">
      <alignment horizontal="center"/>
      <protection hidden="1"/>
    </xf>
    <xf numFmtId="2" fontId="24" fillId="9" borderId="21" xfId="0" applyNumberFormat="1" applyFont="1" applyFill="1" applyBorder="1" applyAlignment="1" applyProtection="1">
      <alignment horizontal="centerContinuous"/>
      <protection hidden="1"/>
    </xf>
    <xf numFmtId="2" fontId="20" fillId="5" borderId="8" xfId="0" applyNumberFormat="1" applyFont="1" applyFill="1" applyBorder="1" applyAlignment="1" applyProtection="1">
      <alignment horizontal="center"/>
      <protection hidden="1"/>
    </xf>
    <xf numFmtId="2" fontId="1" fillId="5" borderId="7" xfId="0" applyNumberFormat="1" applyFont="1" applyFill="1" applyBorder="1" applyAlignment="1" applyProtection="1">
      <alignment horizontal="center"/>
      <protection hidden="1"/>
    </xf>
    <xf numFmtId="0" fontId="6" fillId="0" borderId="0" xfId="0" applyFont="1" applyFill="1" applyBorder="1" applyAlignment="1" applyProtection="1">
      <alignment horizontal="centerContinuous"/>
      <protection hidden="1"/>
    </xf>
    <xf numFmtId="0" fontId="6" fillId="0" borderId="0" xfId="0" applyFont="1" applyFill="1" applyBorder="1" applyAlignment="1">
      <alignment horizontal="centerContinuous"/>
    </xf>
    <xf numFmtId="0" fontId="56" fillId="0" borderId="0" xfId="0" applyFont="1" applyAlignment="1" applyProtection="1">
      <alignment horizontal="centerContinuous"/>
      <protection hidden="1"/>
    </xf>
    <xf numFmtId="0" fontId="57" fillId="0" borderId="15" xfId="0" applyFont="1" applyBorder="1" applyAlignment="1" applyProtection="1">
      <alignment horizontal="center"/>
      <protection locked="0"/>
    </xf>
    <xf numFmtId="0" fontId="0" fillId="0" borderId="0" xfId="0" applyAlignment="1" applyProtection="1">
      <alignment horizontal="centerContinuous"/>
      <protection hidden="1"/>
    </xf>
    <xf numFmtId="0" fontId="58" fillId="2" borderId="4" xfId="0" applyFont="1" applyFill="1" applyBorder="1" applyAlignment="1" applyProtection="1">
      <alignment horizontal="center"/>
      <protection hidden="1"/>
    </xf>
    <xf numFmtId="0" fontId="55" fillId="3" borderId="4" xfId="0" applyFont="1" applyFill="1" applyBorder="1" applyAlignment="1" applyProtection="1">
      <alignment horizontal="center"/>
      <protection hidden="1"/>
    </xf>
    <xf numFmtId="0" fontId="1" fillId="0" borderId="0" xfId="0" applyFont="1" applyBorder="1" applyAlignment="1" applyProtection="1">
      <alignment horizontal="center"/>
      <protection hidden="1"/>
    </xf>
    <xf numFmtId="0" fontId="37" fillId="0" borderId="0" xfId="0" applyFont="1" applyFill="1" applyBorder="1"/>
    <xf numFmtId="0" fontId="0" fillId="0" borderId="0" xfId="0" applyFill="1" applyBorder="1"/>
    <xf numFmtId="0" fontId="28" fillId="0" borderId="0" xfId="0" applyFont="1"/>
    <xf numFmtId="0" fontId="28" fillId="0" borderId="0" xfId="0" applyFont="1" applyFill="1" applyBorder="1"/>
    <xf numFmtId="1" fontId="28" fillId="0" borderId="0" xfId="0" applyNumberFormat="1" applyFont="1" applyFill="1" applyBorder="1" applyAlignment="1" applyProtection="1">
      <alignment horizontal="center"/>
    </xf>
    <xf numFmtId="0" fontId="28" fillId="0" borderId="0" xfId="0" applyFont="1" applyAlignment="1">
      <alignment horizontal="right"/>
    </xf>
    <xf numFmtId="1" fontId="28" fillId="0" borderId="0" xfId="0" applyNumberFormat="1" applyFont="1" applyAlignment="1">
      <alignment horizontal="center"/>
    </xf>
    <xf numFmtId="2" fontId="28" fillId="0" borderId="0" xfId="0" applyNumberFormat="1" applyFont="1" applyAlignment="1">
      <alignment horizontal="right"/>
    </xf>
    <xf numFmtId="2" fontId="28" fillId="0" borderId="0" xfId="0" applyNumberFormat="1" applyFont="1" applyAlignment="1">
      <alignment horizontal="left"/>
    </xf>
    <xf numFmtId="0" fontId="28" fillId="0" borderId="0" xfId="0" applyNumberFormat="1" applyFont="1" applyAlignment="1" applyProtection="1">
      <alignment horizontal="left"/>
    </xf>
    <xf numFmtId="0" fontId="28" fillId="0" borderId="0" xfId="0" applyFont="1" applyProtection="1"/>
    <xf numFmtId="0" fontId="28" fillId="0" borderId="0" xfId="0" applyFont="1" applyAlignment="1" applyProtection="1">
      <alignment horizontal="right"/>
    </xf>
    <xf numFmtId="0" fontId="28" fillId="0" borderId="0" xfId="0" applyNumberFormat="1" applyFont="1" applyAlignment="1">
      <alignment horizontal="left"/>
    </xf>
    <xf numFmtId="1" fontId="59" fillId="0" borderId="4" xfId="0" applyNumberFormat="1" applyFont="1" applyBorder="1" applyAlignment="1" applyProtection="1">
      <alignment horizontal="center"/>
      <protection hidden="1"/>
    </xf>
    <xf numFmtId="0" fontId="11" fillId="0" borderId="0" xfId="0" applyFont="1" applyFill="1" applyBorder="1" applyAlignment="1" applyProtection="1">
      <alignment horizontal="center" vertical="center" wrapText="1"/>
      <protection locked="0"/>
    </xf>
    <xf numFmtId="0" fontId="28" fillId="0" borderId="0" xfId="0" applyFont="1" applyFill="1" applyBorder="1" applyAlignment="1">
      <alignment horizontal="center" vertical="center" wrapText="1"/>
    </xf>
    <xf numFmtId="0" fontId="0" fillId="5" borderId="10" xfId="0" applyFill="1" applyBorder="1"/>
    <xf numFmtId="0" fontId="0" fillId="5" borderId="19" xfId="0" applyFill="1" applyBorder="1"/>
    <xf numFmtId="0" fontId="0" fillId="5" borderId="6" xfId="0" applyFill="1" applyBorder="1"/>
    <xf numFmtId="0" fontId="0" fillId="0" borderId="0" xfId="0" applyFill="1" applyBorder="1" applyAlignment="1"/>
    <xf numFmtId="0" fontId="11" fillId="0" borderId="0" xfId="0" applyFont="1" applyFill="1" applyBorder="1" applyAlignment="1" applyProtection="1">
      <alignment horizontal="center" vertical="center"/>
      <protection locked="0"/>
    </xf>
    <xf numFmtId="0" fontId="0" fillId="0" borderId="12" xfId="0" applyBorder="1"/>
    <xf numFmtId="0" fontId="0" fillId="0" borderId="32" xfId="0" applyBorder="1"/>
    <xf numFmtId="0" fontId="11" fillId="0" borderId="12" xfId="0" applyFont="1" applyBorder="1" applyAlignment="1" applyProtection="1">
      <alignment horizontal="center" vertical="center" wrapText="1"/>
      <protection locked="0"/>
    </xf>
    <xf numFmtId="175" fontId="39" fillId="13" borderId="10" xfId="0" applyNumberFormat="1" applyFont="1" applyFill="1" applyBorder="1" applyAlignment="1" applyProtection="1">
      <alignment horizontal="center" vertical="center" wrapText="1"/>
      <protection hidden="1"/>
    </xf>
    <xf numFmtId="0" fontId="64" fillId="13" borderId="6" xfId="0" applyNumberFormat="1" applyFont="1" applyFill="1" applyBorder="1" applyAlignment="1" applyProtection="1">
      <alignment horizontal="center" vertical="center"/>
      <protection hidden="1"/>
    </xf>
    <xf numFmtId="0" fontId="64" fillId="0" borderId="0" xfId="0" applyFont="1" applyBorder="1" applyAlignment="1">
      <alignment horizontal="center" vertical="center"/>
    </xf>
    <xf numFmtId="0" fontId="3" fillId="0" borderId="0" xfId="0" applyFont="1" applyBorder="1" applyAlignment="1">
      <alignment horizontal="center" vertical="center" wrapText="1"/>
    </xf>
    <xf numFmtId="0" fontId="11" fillId="0" borderId="0" xfId="0" applyFont="1" applyBorder="1" applyAlignment="1" applyProtection="1">
      <alignment horizontal="center" vertical="center" wrapText="1"/>
      <protection locked="0"/>
    </xf>
    <xf numFmtId="0" fontId="28" fillId="0" borderId="0" xfId="0" applyFont="1" applyBorder="1" applyAlignment="1">
      <alignment horizontal="center" vertical="center" wrapText="1"/>
    </xf>
    <xf numFmtId="0" fontId="66" fillId="0" borderId="0" xfId="0" applyFont="1" applyBorder="1" applyAlignment="1">
      <alignment horizontal="center" vertical="center"/>
    </xf>
    <xf numFmtId="174" fontId="64" fillId="0" borderId="0" xfId="0" applyNumberFormat="1" applyFont="1" applyBorder="1" applyAlignment="1">
      <alignment horizontal="center" vertical="center"/>
    </xf>
    <xf numFmtId="0" fontId="3" fillId="0" borderId="32" xfId="0" applyFont="1" applyBorder="1" applyAlignment="1">
      <alignment horizontal="center" vertical="center" wrapText="1"/>
    </xf>
    <xf numFmtId="0" fontId="3" fillId="0" borderId="0" xfId="0" applyFont="1" applyFill="1" applyBorder="1" applyAlignment="1" applyProtection="1">
      <alignment horizontal="center" vertical="center" wrapText="1"/>
      <protection hidden="1"/>
    </xf>
    <xf numFmtId="0" fontId="28" fillId="12" borderId="4" xfId="0" applyFont="1" applyFill="1" applyBorder="1" applyAlignment="1">
      <alignment horizontal="right" vertical="center" wrapText="1"/>
    </xf>
    <xf numFmtId="0" fontId="0" fillId="0" borderId="18" xfId="0" applyBorder="1"/>
    <xf numFmtId="0" fontId="0" fillId="0" borderId="16" xfId="0" applyBorder="1"/>
    <xf numFmtId="2" fontId="68" fillId="12" borderId="4" xfId="0" applyNumberFormat="1" applyFont="1" applyFill="1" applyBorder="1" applyAlignment="1" applyProtection="1">
      <alignment horizontal="right" vertical="center"/>
      <protection locked="0"/>
    </xf>
    <xf numFmtId="1" fontId="3" fillId="0" borderId="4" xfId="0" applyNumberFormat="1" applyFont="1" applyBorder="1" applyAlignment="1" applyProtection="1">
      <alignment horizontal="center" vertical="center"/>
      <protection hidden="1"/>
    </xf>
    <xf numFmtId="1" fontId="64" fillId="0" borderId="0" xfId="0" applyNumberFormat="1" applyFont="1" applyBorder="1" applyAlignment="1" applyProtection="1">
      <alignment horizontal="center" vertical="center"/>
      <protection hidden="1"/>
    </xf>
    <xf numFmtId="174" fontId="64" fillId="0" borderId="0" xfId="0" applyNumberFormat="1" applyFont="1" applyBorder="1" applyAlignment="1" applyProtection="1">
      <alignment horizontal="center" vertical="center"/>
      <protection hidden="1"/>
    </xf>
    <xf numFmtId="0" fontId="11" fillId="0" borderId="18" xfId="0" applyFont="1" applyBorder="1" applyAlignment="1" applyProtection="1">
      <alignment horizontal="center" vertical="center" wrapText="1"/>
      <protection locked="0"/>
    </xf>
    <xf numFmtId="175" fontId="39" fillId="0" borderId="5" xfId="0" applyNumberFormat="1" applyFont="1" applyFill="1" applyBorder="1" applyAlignment="1" applyProtection="1">
      <alignment horizontal="center" vertical="center" wrapText="1"/>
      <protection hidden="1"/>
    </xf>
    <xf numFmtId="0" fontId="64" fillId="0" borderId="5" xfId="0" applyNumberFormat="1" applyFont="1" applyFill="1" applyBorder="1" applyAlignment="1" applyProtection="1">
      <alignment horizontal="center" vertical="center"/>
      <protection hidden="1"/>
    </xf>
    <xf numFmtId="2" fontId="68" fillId="0" borderId="5" xfId="0" applyNumberFormat="1" applyFont="1" applyFill="1" applyBorder="1" applyAlignment="1" applyProtection="1">
      <alignment horizontal="right" vertical="center"/>
      <protection locked="0"/>
    </xf>
    <xf numFmtId="1" fontId="3" fillId="0" borderId="5" xfId="0" applyNumberFormat="1" applyFont="1" applyFill="1" applyBorder="1" applyAlignment="1" applyProtection="1">
      <alignment horizontal="center" vertical="center"/>
      <protection hidden="1"/>
    </xf>
    <xf numFmtId="174" fontId="64" fillId="0" borderId="5" xfId="0" applyNumberFormat="1" applyFont="1" applyBorder="1" applyAlignment="1" applyProtection="1">
      <alignment horizontal="center" vertical="center"/>
      <protection hidden="1"/>
    </xf>
    <xf numFmtId="175" fontId="39" fillId="0" borderId="0" xfId="0" applyNumberFormat="1" applyFont="1" applyFill="1" applyBorder="1" applyAlignment="1" applyProtection="1">
      <alignment horizontal="center" vertical="center" wrapText="1"/>
      <protection hidden="1"/>
    </xf>
    <xf numFmtId="0" fontId="8" fillId="0" borderId="4" xfId="0" applyFont="1" applyBorder="1" applyAlignment="1" applyProtection="1">
      <alignment horizontal="center"/>
      <protection locked="0"/>
    </xf>
    <xf numFmtId="0" fontId="69" fillId="3" borderId="4" xfId="0" applyFont="1" applyFill="1" applyBorder="1" applyAlignment="1">
      <alignment horizontal="center"/>
    </xf>
    <xf numFmtId="0" fontId="0" fillId="0" borderId="27" xfId="0" applyBorder="1"/>
    <xf numFmtId="0" fontId="0" fillId="0" borderId="0" xfId="0" applyBorder="1" applyAlignment="1">
      <alignment horizontal="centerContinuous"/>
    </xf>
    <xf numFmtId="0" fontId="70" fillId="0" borderId="0" xfId="0" applyFont="1" applyBorder="1"/>
    <xf numFmtId="0" fontId="70" fillId="0" borderId="0" xfId="0" applyFont="1" applyBorder="1" applyAlignment="1">
      <alignment horizontal="right"/>
    </xf>
    <xf numFmtId="0" fontId="71" fillId="0" borderId="15" xfId="0" applyFont="1" applyBorder="1" applyAlignment="1" applyProtection="1">
      <alignment horizontal="center"/>
      <protection locked="0"/>
    </xf>
    <xf numFmtId="0" fontId="72" fillId="0" borderId="0" xfId="0" applyFont="1" applyBorder="1" applyAlignment="1">
      <alignment horizontal="right"/>
    </xf>
    <xf numFmtId="0" fontId="0" fillId="0" borderId="0" xfId="0" applyBorder="1" applyAlignment="1">
      <alignment horizontal="right"/>
    </xf>
    <xf numFmtId="0" fontId="69" fillId="0" borderId="0" xfId="0" applyFont="1" applyBorder="1" applyAlignment="1">
      <alignment horizontal="center"/>
    </xf>
    <xf numFmtId="182" fontId="6" fillId="0" borderId="30" xfId="0" applyNumberFormat="1" applyFont="1" applyBorder="1" applyAlignment="1" applyProtection="1">
      <alignment horizontal="center"/>
      <protection hidden="1"/>
    </xf>
    <xf numFmtId="0" fontId="0" fillId="0" borderId="30" xfId="0" applyBorder="1" applyAlignment="1">
      <alignment horizontal="left"/>
    </xf>
    <xf numFmtId="0" fontId="69" fillId="0" borderId="30" xfId="0" applyFont="1" applyBorder="1" applyAlignment="1">
      <alignment horizontal="center"/>
    </xf>
    <xf numFmtId="2" fontId="7" fillId="0" borderId="30" xfId="0" applyNumberFormat="1" applyFont="1" applyBorder="1" applyAlignment="1" applyProtection="1">
      <alignment horizontal="center"/>
      <protection hidden="1"/>
    </xf>
    <xf numFmtId="182" fontId="6" fillId="0" borderId="0" xfId="0" applyNumberFormat="1" applyFont="1" applyBorder="1" applyAlignment="1">
      <alignment horizontal="center"/>
    </xf>
    <xf numFmtId="0" fontId="0" fillId="0" borderId="0" xfId="0" applyBorder="1" applyAlignment="1">
      <alignment horizontal="left"/>
    </xf>
    <xf numFmtId="2" fontId="7" fillId="0" borderId="0" xfId="0" applyNumberFormat="1" applyFont="1" applyBorder="1" applyAlignment="1" applyProtection="1">
      <alignment horizontal="center"/>
      <protection hidden="1"/>
    </xf>
    <xf numFmtId="0" fontId="21" fillId="0" borderId="0" xfId="0" applyFont="1" applyBorder="1"/>
    <xf numFmtId="0" fontId="6" fillId="2" borderId="4" xfId="0" applyFont="1" applyFill="1" applyBorder="1" applyAlignment="1">
      <alignment horizontal="centerContinuous" vertical="center"/>
    </xf>
    <xf numFmtId="1" fontId="7" fillId="0" borderId="0" xfId="0" applyNumberFormat="1" applyFont="1" applyBorder="1" applyAlignment="1" applyProtection="1">
      <alignment horizontal="center"/>
      <protection hidden="1"/>
    </xf>
    <xf numFmtId="1" fontId="36" fillId="0" borderId="4" xfId="0" applyNumberFormat="1" applyFont="1" applyBorder="1" applyAlignment="1" applyProtection="1">
      <alignment horizontal="center"/>
      <protection hidden="1"/>
    </xf>
    <xf numFmtId="0" fontId="73" fillId="0" borderId="0" xfId="0" applyFont="1" applyAlignment="1" applyProtection="1">
      <alignment horizontal="right"/>
      <protection hidden="1"/>
    </xf>
    <xf numFmtId="1" fontId="32" fillId="3" borderId="4" xfId="0" applyNumberFormat="1" applyFont="1" applyFill="1" applyBorder="1" applyAlignment="1" applyProtection="1">
      <alignment horizontal="center"/>
      <protection hidden="1"/>
    </xf>
    <xf numFmtId="0" fontId="34" fillId="3" borderId="4" xfId="0" applyFont="1" applyFill="1" applyBorder="1" applyAlignment="1" applyProtection="1">
      <alignment horizontal="centerContinuous"/>
      <protection hidden="1"/>
    </xf>
    <xf numFmtId="0" fontId="73" fillId="0" borderId="0" xfId="0" applyFont="1" applyBorder="1" applyAlignment="1" applyProtection="1">
      <alignment horizontal="right"/>
      <protection hidden="1"/>
    </xf>
    <xf numFmtId="1" fontId="13" fillId="0" borderId="0" xfId="0" applyNumberFormat="1" applyFont="1" applyBorder="1" applyAlignment="1" applyProtection="1">
      <alignment horizontal="center"/>
      <protection hidden="1"/>
    </xf>
    <xf numFmtId="0" fontId="18" fillId="0" borderId="0" xfId="0" applyFont="1" applyBorder="1" applyAlignment="1" applyProtection="1">
      <alignment horizontal="center"/>
      <protection hidden="1"/>
    </xf>
    <xf numFmtId="0" fontId="0" fillId="0" borderId="0" xfId="0" applyBorder="1" applyAlignment="1" applyProtection="1">
      <alignment horizontal="center"/>
      <protection hidden="1"/>
    </xf>
    <xf numFmtId="0" fontId="0" fillId="0" borderId="0" xfId="0" applyAlignment="1">
      <alignment horizontal="right"/>
    </xf>
    <xf numFmtId="175" fontId="39" fillId="0" borderId="4" xfId="0" applyNumberFormat="1" applyFont="1" applyBorder="1" applyAlignment="1" applyProtection="1">
      <alignment horizontal="center"/>
      <protection hidden="1"/>
    </xf>
    <xf numFmtId="0" fontId="0" fillId="13" borderId="6" xfId="0" applyFill="1" applyBorder="1"/>
    <xf numFmtId="0" fontId="64" fillId="0" borderId="0" xfId="0" applyNumberFormat="1" applyFont="1" applyFill="1" applyBorder="1" applyAlignment="1" applyProtection="1">
      <alignment horizontal="center" vertical="center"/>
      <protection hidden="1"/>
    </xf>
    <xf numFmtId="2" fontId="64" fillId="0" borderId="0" xfId="0" applyNumberFormat="1" applyFont="1" applyBorder="1" applyAlignment="1" applyProtection="1">
      <alignment horizontal="center" vertical="center"/>
      <protection locked="0"/>
    </xf>
    <xf numFmtId="174" fontId="64" fillId="0" borderId="32" xfId="0" applyNumberFormat="1" applyFont="1" applyBorder="1" applyAlignment="1" applyProtection="1">
      <alignment horizontal="center" vertical="center"/>
      <protection hidden="1"/>
    </xf>
    <xf numFmtId="2" fontId="64" fillId="12" borderId="4" xfId="0" applyNumberFormat="1" applyFont="1" applyFill="1" applyBorder="1" applyAlignment="1" applyProtection="1">
      <alignment horizontal="right" vertical="center"/>
      <protection locked="0"/>
    </xf>
    <xf numFmtId="0" fontId="62"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center" vertical="center" wrapText="1"/>
      <protection hidden="1"/>
    </xf>
    <xf numFmtId="0" fontId="36" fillId="0" borderId="0"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9" fontId="64" fillId="0" borderId="0" xfId="0" applyNumberFormat="1" applyFont="1" applyFill="1" applyBorder="1" applyAlignment="1" applyProtection="1">
      <alignment horizontal="center" vertical="center"/>
      <protection hidden="1"/>
    </xf>
    <xf numFmtId="181" fontId="3" fillId="0" borderId="0" xfId="0" applyNumberFormat="1" applyFont="1" applyFill="1" applyBorder="1" applyAlignment="1" applyProtection="1">
      <alignment horizontal="center" vertical="center"/>
      <protection hidden="1"/>
    </xf>
    <xf numFmtId="1" fontId="65" fillId="0" borderId="0" xfId="0" applyNumberFormat="1" applyFont="1" applyFill="1" applyBorder="1" applyAlignment="1" applyProtection="1">
      <alignment horizontal="center" vertical="center" wrapText="1"/>
      <protection hidden="1"/>
    </xf>
    <xf numFmtId="181" fontId="64" fillId="0" borderId="0" xfId="0" applyNumberFormat="1"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wrapText="1"/>
      <protection hidden="1"/>
    </xf>
    <xf numFmtId="175" fontId="39" fillId="13" borderId="10" xfId="0" applyNumberFormat="1" applyFont="1" applyFill="1" applyBorder="1" applyAlignment="1" applyProtection="1">
      <alignment horizontal="center"/>
      <protection hidden="1"/>
    </xf>
    <xf numFmtId="2" fontId="64" fillId="0" borderId="0" xfId="0" applyNumberFormat="1" applyFont="1" applyFill="1" applyBorder="1" applyAlignment="1" applyProtection="1">
      <alignment horizontal="right" vertical="center"/>
      <protection locked="0"/>
    </xf>
    <xf numFmtId="1" fontId="3" fillId="0" borderId="32" xfId="0" applyNumberFormat="1" applyFont="1" applyFill="1" applyBorder="1" applyAlignment="1" applyProtection="1">
      <alignment horizontal="center" vertical="center"/>
      <protection hidden="1"/>
    </xf>
    <xf numFmtId="0" fontId="11" fillId="0" borderId="9" xfId="0" applyFont="1" applyBorder="1" applyAlignment="1" applyProtection="1">
      <alignment horizontal="center" vertical="center" wrapText="1"/>
      <protection locked="0"/>
    </xf>
    <xf numFmtId="0" fontId="28" fillId="0" borderId="18" xfId="0" applyFont="1" applyFill="1" applyBorder="1" applyAlignment="1">
      <alignment horizontal="center" vertical="center" wrapText="1"/>
    </xf>
    <xf numFmtId="0" fontId="28" fillId="0" borderId="5" xfId="0" applyFont="1" applyBorder="1" applyAlignment="1">
      <alignment horizontal="center" vertical="center" wrapText="1"/>
    </xf>
    <xf numFmtId="0" fontId="64" fillId="0" borderId="5" xfId="0" applyFont="1" applyBorder="1" applyAlignment="1" applyProtection="1">
      <alignment horizontal="center" vertical="center"/>
      <protection hidden="1"/>
    </xf>
    <xf numFmtId="2" fontId="64" fillId="0" borderId="5" xfId="0" applyNumberFormat="1" applyFont="1" applyBorder="1" applyAlignment="1" applyProtection="1">
      <alignment horizontal="center" vertical="center"/>
      <protection locked="0"/>
    </xf>
    <xf numFmtId="0" fontId="3" fillId="0" borderId="0" xfId="0" applyFont="1" applyFill="1" applyBorder="1" applyAlignment="1">
      <alignment horizontal="center" vertical="center" wrapText="1"/>
    </xf>
    <xf numFmtId="174" fontId="3" fillId="0" borderId="0" xfId="0" applyNumberFormat="1" applyFont="1" applyFill="1" applyBorder="1" applyAlignment="1" applyProtection="1">
      <alignment horizontal="center" vertical="center"/>
      <protection hidden="1"/>
    </xf>
    <xf numFmtId="2" fontId="64" fillId="0" borderId="0" xfId="0" applyNumberFormat="1" applyFont="1" applyFill="1" applyBorder="1" applyAlignment="1" applyProtection="1">
      <alignment horizontal="center" vertical="center"/>
      <protection locked="0"/>
    </xf>
    <xf numFmtId="174" fontId="64" fillId="0" borderId="0" xfId="0" applyNumberFormat="1" applyFont="1" applyFill="1" applyBorder="1" applyAlignment="1" applyProtection="1">
      <alignment horizontal="center" vertical="center"/>
      <protection hidden="1"/>
    </xf>
    <xf numFmtId="1" fontId="3" fillId="0" borderId="0" xfId="0" applyNumberFormat="1" applyFont="1" applyFill="1" applyBorder="1" applyAlignment="1" applyProtection="1">
      <alignment horizontal="center" vertical="center"/>
      <protection hidden="1"/>
    </xf>
    <xf numFmtId="0" fontId="64" fillId="13" borderId="6" xfId="0" applyNumberFormat="1" applyFont="1" applyFill="1" applyBorder="1" applyAlignment="1" applyProtection="1">
      <alignment horizontal="left" vertical="center"/>
      <protection hidden="1"/>
    </xf>
    <xf numFmtId="0" fontId="11" fillId="0" borderId="5" xfId="0" applyFont="1" applyBorder="1" applyAlignment="1" applyProtection="1">
      <alignment horizontal="center" vertical="center" wrapText="1"/>
      <protection locked="0"/>
    </xf>
    <xf numFmtId="174" fontId="64" fillId="0" borderId="16" xfId="0" applyNumberFormat="1" applyFont="1" applyBorder="1" applyAlignment="1" applyProtection="1">
      <alignment horizontal="center" vertical="center"/>
      <protection hidden="1"/>
    </xf>
    <xf numFmtId="0" fontId="0" fillId="0" borderId="4" xfId="0" applyBorder="1"/>
    <xf numFmtId="174" fontId="64" fillId="0" borderId="32" xfId="0" applyNumberFormat="1" applyFont="1" applyFill="1" applyBorder="1" applyAlignment="1" applyProtection="1">
      <alignment horizontal="center" vertical="center"/>
      <protection hidden="1"/>
    </xf>
    <xf numFmtId="0" fontId="20" fillId="0" borderId="6" xfId="0" applyFont="1" applyBorder="1" applyAlignment="1">
      <alignment horizontal="left"/>
    </xf>
    <xf numFmtId="0" fontId="21" fillId="0" borderId="32" xfId="0" applyFont="1" applyBorder="1"/>
    <xf numFmtId="0" fontId="21" fillId="0" borderId="33" xfId="0" applyFont="1" applyBorder="1"/>
    <xf numFmtId="0" fontId="64" fillId="0" borderId="0" xfId="0" applyFont="1" applyBorder="1" applyAlignment="1" applyProtection="1">
      <alignment horizontal="center" vertical="center"/>
      <protection hidden="1"/>
    </xf>
    <xf numFmtId="0" fontId="0" fillId="0" borderId="5" xfId="0" applyBorder="1" applyAlignment="1">
      <alignment horizontal="right"/>
    </xf>
    <xf numFmtId="0" fontId="69" fillId="0" borderId="5" xfId="0" applyFont="1" applyBorder="1" applyAlignment="1">
      <alignment horizontal="center"/>
    </xf>
    <xf numFmtId="2" fontId="7" fillId="0" borderId="5" xfId="0" applyNumberFormat="1" applyFont="1" applyBorder="1" applyAlignment="1" applyProtection="1">
      <alignment horizontal="center"/>
      <protection hidden="1"/>
    </xf>
    <xf numFmtId="0" fontId="21" fillId="0" borderId="5" xfId="0" applyFont="1" applyBorder="1"/>
    <xf numFmtId="0" fontId="0" fillId="0" borderId="7" xfId="0" applyBorder="1"/>
    <xf numFmtId="1" fontId="65" fillId="0" borderId="4" xfId="0" applyNumberFormat="1" applyFont="1" applyBorder="1" applyAlignment="1" applyProtection="1">
      <alignment horizontal="center" vertical="center" wrapText="1"/>
      <protection hidden="1"/>
    </xf>
    <xf numFmtId="0" fontId="76" fillId="2" borderId="0" xfId="0" applyFont="1" applyFill="1" applyAlignment="1">
      <alignment horizontal="centerContinuous"/>
    </xf>
    <xf numFmtId="0" fontId="76" fillId="3" borderId="10" xfId="0" applyFont="1" applyFill="1" applyBorder="1" applyAlignment="1">
      <alignment horizontal="centerContinuous"/>
    </xf>
    <xf numFmtId="0" fontId="76" fillId="3" borderId="19" xfId="0" applyFont="1" applyFill="1" applyBorder="1" applyAlignment="1">
      <alignment horizontal="centerContinuous"/>
    </xf>
    <xf numFmtId="0" fontId="76" fillId="3" borderId="6" xfId="0" applyFont="1" applyFill="1" applyBorder="1" applyAlignment="1">
      <alignment horizontal="centerContinuous"/>
    </xf>
    <xf numFmtId="0" fontId="55" fillId="9" borderId="4" xfId="0" applyFont="1" applyFill="1" applyBorder="1" applyAlignment="1">
      <alignment horizontal="center"/>
    </xf>
    <xf numFmtId="21" fontId="77" fillId="0" borderId="4" xfId="0" applyNumberFormat="1" applyFont="1" applyBorder="1" applyAlignment="1">
      <alignment horizontal="center"/>
    </xf>
    <xf numFmtId="21" fontId="76" fillId="0" borderId="4" xfId="0" applyNumberFormat="1" applyFont="1" applyBorder="1" applyAlignment="1">
      <alignment horizontal="center"/>
    </xf>
    <xf numFmtId="0" fontId="78" fillId="3" borderId="10" xfId="0" applyFont="1" applyFill="1" applyBorder="1" applyAlignment="1">
      <alignment horizontal="centerContinuous"/>
    </xf>
    <xf numFmtId="0" fontId="78" fillId="3" borderId="6" xfId="0" applyFont="1" applyFill="1" applyBorder="1" applyAlignment="1">
      <alignment horizontal="centerContinuous"/>
    </xf>
    <xf numFmtId="21" fontId="55" fillId="0" borderId="4" xfId="0" applyNumberFormat="1" applyFont="1" applyBorder="1" applyAlignment="1" applyProtection="1">
      <alignment horizontal="center"/>
      <protection locked="0"/>
    </xf>
    <xf numFmtId="0" fontId="79" fillId="3" borderId="10" xfId="0" applyFont="1" applyFill="1" applyBorder="1" applyAlignment="1">
      <alignment horizontal="centerContinuous"/>
    </xf>
    <xf numFmtId="0" fontId="79" fillId="3" borderId="19" xfId="0" applyFont="1" applyFill="1" applyBorder="1" applyAlignment="1">
      <alignment horizontal="centerContinuous"/>
    </xf>
    <xf numFmtId="0" fontId="79" fillId="3" borderId="6" xfId="0" applyFont="1" applyFill="1" applyBorder="1" applyAlignment="1">
      <alignment horizontal="centerContinuous"/>
    </xf>
    <xf numFmtId="0" fontId="80" fillId="0" borderId="4" xfId="0" applyFont="1" applyBorder="1" applyAlignment="1">
      <alignment horizontal="center"/>
    </xf>
    <xf numFmtId="21" fontId="76" fillId="0" borderId="4" xfId="0" applyNumberFormat="1" applyFont="1" applyBorder="1" applyAlignment="1" applyProtection="1">
      <alignment horizontal="center"/>
      <protection hidden="1"/>
    </xf>
    <xf numFmtId="0" fontId="58" fillId="0" borderId="0" xfId="0" applyFont="1"/>
    <xf numFmtId="0" fontId="21" fillId="15" borderId="4" xfId="0" applyFont="1" applyFill="1" applyBorder="1" applyAlignment="1">
      <alignment horizontal="center"/>
    </xf>
    <xf numFmtId="0" fontId="67" fillId="16" borderId="4" xfId="0" applyFont="1" applyFill="1" applyBorder="1" applyAlignment="1">
      <alignment horizontal="center" wrapText="1"/>
    </xf>
    <xf numFmtId="0" fontId="0" fillId="0" borderId="0" xfId="0" applyFill="1"/>
    <xf numFmtId="0" fontId="21" fillId="0" borderId="4" xfId="0" applyFont="1" applyFill="1" applyBorder="1" applyAlignment="1">
      <alignment horizontal="center"/>
    </xf>
    <xf numFmtId="0" fontId="17" fillId="15" borderId="4" xfId="0" applyFont="1" applyFill="1" applyBorder="1" applyAlignment="1">
      <alignment horizontal="center"/>
    </xf>
    <xf numFmtId="0" fontId="22" fillId="0" borderId="0" xfId="0" applyFont="1" applyAlignment="1">
      <alignment horizontal="center"/>
    </xf>
    <xf numFmtId="1" fontId="65" fillId="0" borderId="4" xfId="0" applyNumberFormat="1" applyFont="1" applyBorder="1" applyAlignment="1" applyProtection="1">
      <alignment horizontal="center" vertical="center"/>
      <protection hidden="1"/>
    </xf>
    <xf numFmtId="1" fontId="65" fillId="0" borderId="9" xfId="0" applyNumberFormat="1" applyFont="1" applyBorder="1" applyAlignment="1" applyProtection="1">
      <alignment horizontal="center" vertical="center"/>
      <protection hidden="1"/>
    </xf>
    <xf numFmtId="0" fontId="16" fillId="0" borderId="0" xfId="0" applyFont="1" applyFill="1" applyBorder="1" applyAlignment="1">
      <alignment horizontal="center"/>
    </xf>
    <xf numFmtId="0" fontId="16" fillId="0" borderId="0" xfId="0" applyFont="1" applyFill="1" applyBorder="1" applyAlignment="1">
      <alignment horizontal="centerContinuous"/>
    </xf>
    <xf numFmtId="0" fontId="3" fillId="0" borderId="4" xfId="0" applyFont="1" applyBorder="1" applyAlignment="1" applyProtection="1">
      <alignment horizontal="center" vertical="center" wrapText="1"/>
      <protection hidden="1"/>
    </xf>
    <xf numFmtId="2" fontId="6" fillId="0" borderId="0" xfId="0" applyNumberFormat="1" applyFont="1" applyAlignment="1" applyProtection="1">
      <alignment horizontal="center"/>
      <protection hidden="1"/>
    </xf>
    <xf numFmtId="1" fontId="6" fillId="0" borderId="0" xfId="0" applyNumberFormat="1" applyFont="1" applyAlignment="1" applyProtection="1">
      <alignment horizontal="center"/>
      <protection hidden="1"/>
    </xf>
    <xf numFmtId="2" fontId="6" fillId="5" borderId="0" xfId="0" applyNumberFormat="1" applyFont="1" applyFill="1" applyAlignment="1" applyProtection="1">
      <alignment horizontal="center"/>
      <protection hidden="1"/>
    </xf>
    <xf numFmtId="2" fontId="6" fillId="6" borderId="0" xfId="0" applyNumberFormat="1" applyFont="1" applyFill="1" applyAlignment="1" applyProtection="1">
      <alignment horizontal="center"/>
      <protection hidden="1"/>
    </xf>
    <xf numFmtId="2" fontId="6" fillId="6" borderId="0" xfId="2" applyNumberFormat="1" applyFont="1" applyFill="1" applyAlignment="1" applyProtection="1">
      <alignment horizontal="center"/>
      <protection hidden="1"/>
    </xf>
    <xf numFmtId="1" fontId="6" fillId="10" borderId="0" xfId="0" applyNumberFormat="1" applyFont="1" applyFill="1" applyAlignment="1" applyProtection="1">
      <alignment horizontal="center"/>
      <protection hidden="1"/>
    </xf>
    <xf numFmtId="2" fontId="7" fillId="0" borderId="34" xfId="0" applyNumberFormat="1" applyFont="1" applyBorder="1" applyAlignment="1" applyProtection="1">
      <alignment horizontal="center"/>
      <protection locked="0"/>
    </xf>
    <xf numFmtId="0" fontId="0" fillId="0" borderId="0" xfId="0" applyBorder="1" applyAlignment="1" applyProtection="1">
      <alignment horizontal="right"/>
      <protection hidden="1"/>
    </xf>
    <xf numFmtId="0" fontId="69" fillId="0" borderId="32" xfId="0" applyFont="1" applyBorder="1" applyAlignment="1" applyProtection="1">
      <alignment horizontal="center"/>
      <protection hidden="1"/>
    </xf>
    <xf numFmtId="0" fontId="0" fillId="0" borderId="32" xfId="0" applyBorder="1" applyProtection="1">
      <protection hidden="1"/>
    </xf>
    <xf numFmtId="0" fontId="3" fillId="0" borderId="32" xfId="0" applyFont="1" applyBorder="1" applyAlignment="1" applyProtection="1">
      <alignment horizontal="center" vertical="center" wrapText="1"/>
      <protection hidden="1"/>
    </xf>
    <xf numFmtId="0" fontId="69" fillId="3" borderId="4" xfId="0" applyFont="1" applyFill="1" applyBorder="1" applyAlignment="1" applyProtection="1">
      <alignment horizontal="center"/>
      <protection locked="0"/>
    </xf>
    <xf numFmtId="0" fontId="0" fillId="0" borderId="6" xfId="0" applyBorder="1" applyProtection="1">
      <protection hidden="1"/>
    </xf>
    <xf numFmtId="2" fontId="64"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28" fillId="0" borderId="0" xfId="0" applyFont="1" applyBorder="1" applyAlignment="1" applyProtection="1">
      <alignment horizontal="center" vertical="center" wrapText="1"/>
      <protection hidden="1"/>
    </xf>
    <xf numFmtId="0" fontId="66" fillId="0" borderId="0" xfId="0" applyFont="1" applyBorder="1" applyAlignment="1" applyProtection="1">
      <alignment horizontal="center" vertical="center"/>
      <protection hidden="1"/>
    </xf>
    <xf numFmtId="0" fontId="69" fillId="0" borderId="0" xfId="0" applyFont="1" applyBorder="1" applyAlignment="1" applyProtection="1">
      <alignment horizontal="center"/>
      <protection hidden="1"/>
    </xf>
    <xf numFmtId="0" fontId="21" fillId="0" borderId="0" xfId="0" applyFont="1" applyBorder="1" applyProtection="1">
      <protection hidden="1"/>
    </xf>
    <xf numFmtId="169" fontId="29" fillId="5" borderId="4" xfId="0" applyNumberFormat="1" applyFont="1" applyFill="1" applyBorder="1" applyAlignment="1" applyProtection="1">
      <alignment horizontal="center"/>
      <protection locked="0"/>
    </xf>
    <xf numFmtId="0" fontId="33" fillId="0" borderId="9" xfId="0" applyFont="1" applyBorder="1" applyAlignment="1" applyProtection="1">
      <alignment horizontal="center"/>
      <protection locked="0"/>
    </xf>
    <xf numFmtId="0" fontId="37" fillId="5" borderId="0" xfId="0" applyFont="1" applyFill="1" applyAlignment="1">
      <alignment horizontal="center"/>
    </xf>
    <xf numFmtId="0" fontId="82" fillId="13" borderId="0" xfId="1" applyFill="1" applyAlignment="1" applyProtection="1">
      <alignment horizontal="center"/>
    </xf>
    <xf numFmtId="0" fontId="0" fillId="9" borderId="12" xfId="0" applyFill="1" applyBorder="1"/>
    <xf numFmtId="0" fontId="0" fillId="9" borderId="32" xfId="0" applyFill="1" applyBorder="1"/>
    <xf numFmtId="0" fontId="0" fillId="9" borderId="18" xfId="0" applyFill="1" applyBorder="1"/>
    <xf numFmtId="0" fontId="0" fillId="9" borderId="16" xfId="0" applyFill="1" applyBorder="1"/>
    <xf numFmtId="2" fontId="0" fillId="0" borderId="0" xfId="0" applyNumberFormat="1" applyAlignment="1">
      <alignment horizontal="center"/>
    </xf>
    <xf numFmtId="0" fontId="0" fillId="9" borderId="0" xfId="0" applyFill="1" applyBorder="1" applyAlignment="1">
      <alignment horizontal="center"/>
    </xf>
    <xf numFmtId="1" fontId="3" fillId="9" borderId="4" xfId="0" applyNumberFormat="1" applyFont="1" applyFill="1" applyBorder="1" applyAlignment="1">
      <alignment horizontal="center"/>
    </xf>
    <xf numFmtId="0" fontId="0" fillId="9" borderId="5" xfId="0" applyFill="1" applyBorder="1" applyAlignment="1">
      <alignment horizontal="center"/>
    </xf>
    <xf numFmtId="0" fontId="0" fillId="9" borderId="32" xfId="0" applyFill="1" applyBorder="1" applyAlignment="1">
      <alignment horizontal="center"/>
    </xf>
    <xf numFmtId="0" fontId="29" fillId="9" borderId="32" xfId="0" applyFont="1" applyFill="1" applyBorder="1" applyAlignment="1">
      <alignment horizontal="center"/>
    </xf>
    <xf numFmtId="0" fontId="0" fillId="9" borderId="16" xfId="0" applyFill="1" applyBorder="1" applyAlignment="1">
      <alignment horizontal="center"/>
    </xf>
    <xf numFmtId="0" fontId="86" fillId="0" borderId="0" xfId="0" applyFont="1" applyAlignment="1">
      <alignment horizontal="left"/>
    </xf>
    <xf numFmtId="184" fontId="87" fillId="0" borderId="0" xfId="0" applyNumberFormat="1" applyFont="1" applyAlignment="1">
      <alignment horizontal="left"/>
    </xf>
    <xf numFmtId="0" fontId="82" fillId="10" borderId="0" xfId="1" applyFill="1" applyAlignment="1" applyProtection="1">
      <alignment horizontal="center"/>
    </xf>
    <xf numFmtId="0" fontId="11" fillId="9" borderId="4" xfId="0" applyFont="1" applyFill="1" applyBorder="1" applyAlignment="1" applyProtection="1">
      <alignment horizontal="center"/>
      <protection locked="0" hidden="1"/>
    </xf>
    <xf numFmtId="0" fontId="8" fillId="12" borderId="4" xfId="0" applyFont="1" applyFill="1" applyBorder="1" applyAlignment="1" applyProtection="1">
      <alignment horizontal="center"/>
      <protection hidden="1"/>
    </xf>
    <xf numFmtId="2" fontId="6" fillId="12" borderId="4" xfId="0" applyNumberFormat="1" applyFont="1" applyFill="1" applyBorder="1" applyAlignment="1" applyProtection="1">
      <alignment horizontal="center"/>
      <protection hidden="1"/>
    </xf>
    <xf numFmtId="0" fontId="88" fillId="0" borderId="0" xfId="0" applyFont="1" applyAlignment="1">
      <alignment horizontal="right"/>
    </xf>
    <xf numFmtId="21" fontId="6" fillId="5" borderId="4" xfId="0" applyNumberFormat="1" applyFont="1" applyFill="1" applyBorder="1" applyAlignment="1">
      <alignment horizontal="center"/>
    </xf>
    <xf numFmtId="0" fontId="6" fillId="5" borderId="4" xfId="0" applyFont="1" applyFill="1" applyBorder="1"/>
    <xf numFmtId="0" fontId="6" fillId="5" borderId="4" xfId="0" applyFont="1" applyFill="1" applyBorder="1" applyAlignment="1">
      <alignment horizontal="center"/>
    </xf>
    <xf numFmtId="21" fontId="45" fillId="0" borderId="4" xfId="0" applyNumberFormat="1" applyFont="1" applyBorder="1" applyAlignment="1" applyProtection="1">
      <alignment horizontal="center"/>
      <protection locked="0"/>
    </xf>
    <xf numFmtId="21" fontId="0" fillId="0" borderId="4" xfId="0" applyNumberFormat="1" applyBorder="1" applyAlignment="1" applyProtection="1">
      <alignment horizontal="center"/>
      <protection hidden="1"/>
    </xf>
    <xf numFmtId="0" fontId="90" fillId="0" borderId="0" xfId="0" applyFont="1"/>
    <xf numFmtId="0" fontId="58" fillId="5" borderId="4" xfId="0" applyFont="1" applyFill="1" applyBorder="1" applyAlignment="1">
      <alignment horizontal="center"/>
    </xf>
    <xf numFmtId="185" fontId="6" fillId="0" borderId="0" xfId="0" applyNumberFormat="1" applyFont="1" applyAlignment="1">
      <alignment horizontal="left"/>
    </xf>
    <xf numFmtId="180" fontId="36" fillId="0" borderId="4" xfId="0" applyNumberFormat="1" applyFont="1" applyBorder="1" applyAlignment="1">
      <alignment horizontal="center"/>
    </xf>
    <xf numFmtId="45" fontId="6" fillId="0" borderId="4" xfId="0" applyNumberFormat="1" applyFont="1" applyBorder="1" applyAlignment="1" applyProtection="1">
      <alignment horizontal="center"/>
      <protection hidden="1"/>
    </xf>
    <xf numFmtId="186" fontId="58" fillId="5" borderId="4" xfId="0" applyNumberFormat="1" applyFont="1" applyFill="1" applyBorder="1" applyAlignment="1" applyProtection="1">
      <alignment horizontal="center"/>
      <protection hidden="1"/>
    </xf>
    <xf numFmtId="0" fontId="19" fillId="4" borderId="9" xfId="0" applyFont="1" applyFill="1" applyBorder="1" applyAlignment="1">
      <alignment horizontal="center"/>
    </xf>
    <xf numFmtId="0" fontId="19" fillId="9" borderId="0" xfId="0" applyFont="1" applyFill="1" applyBorder="1" applyAlignment="1">
      <alignment horizontal="centerContinuous"/>
    </xf>
    <xf numFmtId="0" fontId="6" fillId="12" borderId="4" xfId="0" applyFont="1" applyFill="1" applyBorder="1" applyAlignment="1">
      <alignment horizontal="center"/>
    </xf>
    <xf numFmtId="0" fontId="1" fillId="5" borderId="10" xfId="0" applyFont="1" applyFill="1" applyBorder="1" applyAlignment="1">
      <alignment horizontal="centerContinuous"/>
    </xf>
    <xf numFmtId="0" fontId="1" fillId="5" borderId="19" xfId="0" applyFont="1" applyFill="1" applyBorder="1" applyAlignment="1">
      <alignment horizontal="centerContinuous"/>
    </xf>
    <xf numFmtId="0" fontId="0" fillId="5" borderId="6" xfId="0" applyFill="1" applyBorder="1" applyAlignment="1">
      <alignment horizontal="centerContinuous"/>
    </xf>
    <xf numFmtId="0" fontId="6" fillId="12" borderId="9" xfId="0" applyFont="1" applyFill="1" applyBorder="1" applyAlignment="1">
      <alignment horizontal="center"/>
    </xf>
    <xf numFmtId="187" fontId="1" fillId="9" borderId="10" xfId="0" applyNumberFormat="1" applyFont="1" applyFill="1" applyBorder="1" applyAlignment="1" applyProtection="1">
      <alignment horizontal="center"/>
      <protection hidden="1"/>
    </xf>
    <xf numFmtId="187" fontId="1" fillId="9" borderId="6" xfId="0" applyNumberFormat="1" applyFont="1" applyFill="1" applyBorder="1" applyAlignment="1" applyProtection="1">
      <alignment horizontal="left"/>
      <protection hidden="1"/>
    </xf>
    <xf numFmtId="174" fontId="7" fillId="9" borderId="10" xfId="0" applyNumberFormat="1" applyFont="1" applyFill="1" applyBorder="1" applyAlignment="1" applyProtection="1">
      <alignment horizontal="center"/>
      <protection hidden="1"/>
    </xf>
    <xf numFmtId="0" fontId="20" fillId="9" borderId="19" xfId="0" applyFont="1" applyFill="1" applyBorder="1" applyAlignment="1" applyProtection="1">
      <alignment horizontal="centerContinuous"/>
      <protection hidden="1"/>
    </xf>
    <xf numFmtId="174" fontId="7" fillId="9" borderId="6" xfId="0" applyNumberFormat="1" applyFont="1" applyFill="1" applyBorder="1" applyAlignment="1" applyProtection="1">
      <alignment horizontal="left"/>
      <protection hidden="1"/>
    </xf>
    <xf numFmtId="185" fontId="36" fillId="12" borderId="4" xfId="0" applyNumberFormat="1" applyFont="1" applyFill="1" applyBorder="1" applyAlignment="1">
      <alignment horizontal="center"/>
    </xf>
    <xf numFmtId="0" fontId="24" fillId="9" borderId="10" xfId="0" applyFont="1" applyFill="1" applyBorder="1" applyAlignment="1">
      <alignment horizontal="centerContinuous"/>
    </xf>
    <xf numFmtId="0" fontId="28" fillId="9" borderId="19" xfId="0" applyFont="1" applyFill="1" applyBorder="1" applyAlignment="1">
      <alignment horizontal="centerContinuous"/>
    </xf>
    <xf numFmtId="0" fontId="28" fillId="9" borderId="6" xfId="0" applyFont="1" applyFill="1" applyBorder="1" applyAlignment="1">
      <alignment horizontal="centerContinuous"/>
    </xf>
    <xf numFmtId="0" fontId="17" fillId="9" borderId="19" xfId="0" applyFont="1" applyFill="1" applyBorder="1" applyAlignment="1" applyProtection="1">
      <alignment horizontal="center"/>
      <protection hidden="1"/>
    </xf>
    <xf numFmtId="174" fontId="7" fillId="9" borderId="6" xfId="0" applyNumberFormat="1" applyFont="1" applyFill="1" applyBorder="1" applyAlignment="1" applyProtection="1">
      <alignment horizontal="center"/>
      <protection hidden="1"/>
    </xf>
    <xf numFmtId="0" fontId="19" fillId="12" borderId="10" xfId="0" applyFont="1" applyFill="1" applyBorder="1" applyAlignment="1">
      <alignment horizontal="centerContinuous"/>
    </xf>
    <xf numFmtId="0" fontId="19" fillId="12" borderId="6" xfId="0" applyFont="1" applyFill="1" applyBorder="1" applyAlignment="1">
      <alignment horizontal="centerContinuous"/>
    </xf>
    <xf numFmtId="0" fontId="0" fillId="12" borderId="6" xfId="0" applyFill="1" applyBorder="1" applyAlignment="1">
      <alignment horizontal="centerContinuous"/>
    </xf>
    <xf numFmtId="0" fontId="8" fillId="9" borderId="4" xfId="0" applyFont="1" applyFill="1" applyBorder="1" applyAlignment="1" applyProtection="1">
      <alignment horizontal="center"/>
      <protection hidden="1"/>
    </xf>
    <xf numFmtId="0" fontId="8" fillId="14" borderId="4" xfId="0" applyFont="1" applyFill="1" applyBorder="1" applyAlignment="1" applyProtection="1">
      <alignment horizontal="center"/>
      <protection hidden="1"/>
    </xf>
    <xf numFmtId="0" fontId="7" fillId="3" borderId="10" xfId="0" applyFont="1" applyFill="1" applyBorder="1" applyAlignment="1" applyProtection="1">
      <alignment horizontal="center"/>
      <protection hidden="1"/>
    </xf>
    <xf numFmtId="0" fontId="13" fillId="0" borderId="6" xfId="0" applyFont="1" applyBorder="1" applyAlignment="1" applyProtection="1">
      <alignment horizontal="center"/>
      <protection hidden="1"/>
    </xf>
    <xf numFmtId="0" fontId="13" fillId="5" borderId="35" xfId="0" applyFont="1" applyFill="1" applyBorder="1" applyAlignment="1" applyProtection="1">
      <alignment horizontal="center"/>
      <protection hidden="1"/>
    </xf>
    <xf numFmtId="0" fontId="8" fillId="12" borderId="24" xfId="0" applyFont="1" applyFill="1" applyBorder="1" applyAlignment="1" applyProtection="1">
      <alignment horizontal="center"/>
      <protection hidden="1"/>
    </xf>
    <xf numFmtId="0" fontId="13" fillId="5" borderId="36" xfId="0" applyFont="1" applyFill="1" applyBorder="1" applyAlignment="1" applyProtection="1">
      <alignment horizontal="center"/>
      <protection hidden="1"/>
    </xf>
    <xf numFmtId="0" fontId="6" fillId="5" borderId="7" xfId="0" applyFont="1" applyFill="1" applyBorder="1" applyAlignment="1" applyProtection="1">
      <alignment horizontal="center" vertical="center" wrapText="1"/>
      <protection hidden="1"/>
    </xf>
    <xf numFmtId="0" fontId="93" fillId="0" borderId="4" xfId="0" applyFont="1" applyBorder="1" applyAlignment="1" applyProtection="1">
      <alignment horizontal="center"/>
      <protection locked="0"/>
    </xf>
    <xf numFmtId="0" fontId="94" fillId="0" borderId="0" xfId="0" applyFont="1" applyAlignment="1">
      <alignment horizontal="left"/>
    </xf>
    <xf numFmtId="0" fontId="94" fillId="0" borderId="0" xfId="0" applyFont="1"/>
    <xf numFmtId="21" fontId="11" fillId="0" borderId="4" xfId="0" applyNumberFormat="1" applyFont="1" applyBorder="1" applyAlignment="1" applyProtection="1">
      <alignment horizontal="center"/>
      <protection locked="0"/>
    </xf>
    <xf numFmtId="169" fontId="6" fillId="0" borderId="4" xfId="0" applyNumberFormat="1" applyFont="1" applyBorder="1" applyAlignment="1">
      <alignment horizontal="center"/>
    </xf>
    <xf numFmtId="0" fontId="6" fillId="0" borderId="0" xfId="0" applyFont="1" applyAlignment="1">
      <alignment horizontal="center"/>
    </xf>
    <xf numFmtId="0" fontId="45" fillId="0" borderId="0" xfId="0" applyFont="1" applyAlignment="1">
      <alignment horizontal="center"/>
    </xf>
    <xf numFmtId="0" fontId="90" fillId="0" borderId="0" xfId="0" applyFont="1" applyBorder="1"/>
    <xf numFmtId="0" fontId="6" fillId="5" borderId="4" xfId="0" applyFont="1" applyFill="1" applyBorder="1" applyAlignment="1"/>
    <xf numFmtId="0" fontId="90" fillId="0" borderId="0" xfId="0" applyFont="1" applyFill="1" applyBorder="1" applyAlignment="1" applyProtection="1">
      <alignment horizontal="center"/>
      <protection hidden="1"/>
    </xf>
    <xf numFmtId="0" fontId="36" fillId="0" borderId="4" xfId="0" applyFont="1" applyBorder="1" applyAlignment="1">
      <alignment horizontal="center"/>
    </xf>
    <xf numFmtId="21" fontId="11" fillId="0" borderId="9" xfId="0" applyNumberFormat="1" applyFont="1" applyBorder="1" applyAlignment="1" applyProtection="1">
      <alignment horizontal="center"/>
      <protection locked="0"/>
    </xf>
    <xf numFmtId="2" fontId="90" fillId="0" borderId="0" xfId="0" applyNumberFormat="1" applyFont="1" applyFill="1" applyBorder="1" applyAlignment="1" applyProtection="1">
      <alignment horizontal="center"/>
      <protection hidden="1"/>
    </xf>
    <xf numFmtId="2" fontId="95" fillId="0" borderId="0" xfId="0" applyNumberFormat="1" applyFont="1" applyFill="1" applyBorder="1" applyAlignment="1" applyProtection="1">
      <alignment horizontal="center"/>
      <protection hidden="1"/>
    </xf>
    <xf numFmtId="0" fontId="45" fillId="0" borderId="4" xfId="0" applyFont="1" applyBorder="1" applyAlignment="1">
      <alignment horizontal="center"/>
    </xf>
    <xf numFmtId="0" fontId="5" fillId="0" borderId="0" xfId="0" applyFont="1" applyAlignment="1">
      <alignment horizontal="center"/>
    </xf>
    <xf numFmtId="188" fontId="0" fillId="0" borderId="0" xfId="0" applyNumberFormat="1" applyAlignment="1">
      <alignment horizontal="left"/>
    </xf>
    <xf numFmtId="0" fontId="54" fillId="0" borderId="0" xfId="0" applyFont="1" applyAlignment="1">
      <alignment horizontal="center"/>
    </xf>
    <xf numFmtId="0" fontId="2" fillId="0" borderId="0" xfId="0" applyFont="1" applyAlignment="1">
      <alignment horizontal="right"/>
    </xf>
    <xf numFmtId="189" fontId="0" fillId="0" borderId="0" xfId="0" applyNumberFormat="1" applyAlignment="1">
      <alignment horizontal="left"/>
    </xf>
    <xf numFmtId="0" fontId="6" fillId="5" borderId="4" xfId="0" applyFont="1" applyFill="1" applyBorder="1" applyAlignment="1" applyProtection="1">
      <alignment horizontal="center" vertical="center" wrapText="1"/>
      <protection hidden="1"/>
    </xf>
    <xf numFmtId="0" fontId="21" fillId="0" borderId="4" xfId="0" applyFont="1" applyBorder="1" applyAlignment="1" applyProtection="1">
      <alignment horizontal="center"/>
      <protection hidden="1"/>
    </xf>
    <xf numFmtId="0" fontId="6" fillId="0" borderId="9" xfId="0" applyFont="1" applyBorder="1" applyAlignment="1">
      <alignment horizontal="center"/>
    </xf>
    <xf numFmtId="2" fontId="100" fillId="0" borderId="4" xfId="0" applyNumberFormat="1" applyFont="1" applyBorder="1" applyAlignment="1">
      <alignment horizontal="center"/>
    </xf>
    <xf numFmtId="0" fontId="89" fillId="12" borderId="4" xfId="0" applyFont="1" applyFill="1" applyBorder="1" applyAlignment="1">
      <alignment horizontal="center"/>
    </xf>
    <xf numFmtId="0" fontId="55" fillId="0" borderId="4" xfId="0" applyFont="1" applyBorder="1" applyAlignment="1" applyProtection="1">
      <alignment horizontal="center"/>
      <protection locked="0"/>
    </xf>
    <xf numFmtId="0" fontId="101" fillId="0" borderId="0" xfId="0" applyFont="1"/>
    <xf numFmtId="0" fontId="102" fillId="0" borderId="0" xfId="0" applyFont="1" applyFill="1" applyBorder="1" applyAlignment="1">
      <alignment horizontal="center"/>
    </xf>
    <xf numFmtId="0" fontId="102" fillId="0" borderId="0" xfId="0" applyFont="1" applyFill="1"/>
    <xf numFmtId="169" fontId="103" fillId="0" borderId="0" xfId="0" applyNumberFormat="1" applyFont="1" applyBorder="1" applyAlignment="1">
      <alignment horizontal="center"/>
    </xf>
    <xf numFmtId="0" fontId="89" fillId="0" borderId="0" xfId="0" applyFont="1" applyBorder="1" applyAlignment="1">
      <alignment horizontal="center"/>
    </xf>
    <xf numFmtId="21" fontId="55" fillId="0" borderId="0" xfId="0" applyNumberFormat="1" applyFont="1" applyBorder="1" applyAlignment="1">
      <alignment horizontal="center"/>
    </xf>
    <xf numFmtId="2" fontId="104" fillId="0" borderId="4" xfId="0" applyNumberFormat="1" applyFont="1" applyBorder="1" applyAlignment="1" applyProtection="1">
      <alignment horizontal="center"/>
      <protection hidden="1"/>
    </xf>
    <xf numFmtId="0" fontId="101" fillId="0" borderId="4" xfId="0" applyFont="1" applyBorder="1"/>
    <xf numFmtId="0" fontId="55" fillId="0" borderId="9" xfId="0" applyFont="1" applyBorder="1" applyAlignment="1" applyProtection="1">
      <alignment horizontal="center"/>
      <protection locked="0"/>
    </xf>
    <xf numFmtId="0" fontId="55" fillId="0" borderId="4" xfId="0" applyFont="1" applyFill="1" applyBorder="1" applyAlignment="1" applyProtection="1">
      <alignment horizontal="center"/>
      <protection locked="0"/>
    </xf>
    <xf numFmtId="0" fontId="105" fillId="0" borderId="0" xfId="0" applyFont="1"/>
    <xf numFmtId="0" fontId="106" fillId="0" borderId="0" xfId="0" applyFont="1" applyBorder="1" applyAlignment="1">
      <alignment horizontal="center"/>
    </xf>
    <xf numFmtId="0" fontId="103" fillId="0" borderId="0" xfId="0" applyFont="1"/>
    <xf numFmtId="0" fontId="102" fillId="0" borderId="0" xfId="0" applyFont="1"/>
    <xf numFmtId="0" fontId="89" fillId="12" borderId="4" xfId="0" applyFont="1" applyFill="1" applyBorder="1"/>
    <xf numFmtId="0" fontId="58" fillId="5" borderId="4" xfId="0" applyFont="1" applyFill="1" applyBorder="1" applyAlignment="1" applyProtection="1">
      <alignment horizontal="center"/>
      <protection hidden="1"/>
    </xf>
    <xf numFmtId="0" fontId="0" fillId="9" borderId="8" xfId="0" applyFill="1" applyBorder="1"/>
    <xf numFmtId="0" fontId="36" fillId="0" borderId="7" xfId="0" applyFont="1" applyBorder="1" applyAlignment="1">
      <alignment horizontal="center"/>
    </xf>
    <xf numFmtId="187" fontId="36" fillId="0" borderId="8" xfId="0" applyNumberFormat="1" applyFont="1" applyBorder="1" applyAlignment="1" applyProtection="1">
      <alignment horizontal="center"/>
      <protection hidden="1"/>
    </xf>
    <xf numFmtId="0" fontId="36" fillId="0" borderId="8" xfId="0" applyFont="1" applyBorder="1" applyAlignment="1">
      <alignment horizontal="center"/>
    </xf>
    <xf numFmtId="0" fontId="36" fillId="0" borderId="12" xfId="0" applyFont="1" applyBorder="1"/>
    <xf numFmtId="0" fontId="0" fillId="0" borderId="9" xfId="0" applyFill="1" applyBorder="1" applyAlignment="1">
      <alignment horizontal="right"/>
    </xf>
    <xf numFmtId="184" fontId="6" fillId="0" borderId="9" xfId="0" applyNumberFormat="1" applyFont="1" applyFill="1" applyBorder="1" applyAlignment="1" applyProtection="1">
      <alignment horizontal="centerContinuous"/>
      <protection hidden="1"/>
    </xf>
    <xf numFmtId="0" fontId="0" fillId="0" borderId="4" xfId="0" applyFill="1" applyBorder="1" applyAlignment="1">
      <alignment horizontal="right"/>
    </xf>
    <xf numFmtId="184" fontId="6" fillId="0" borderId="4" xfId="0" applyNumberFormat="1" applyFont="1" applyFill="1" applyBorder="1" applyAlignment="1" applyProtection="1">
      <alignment horizontal="centerContinuous"/>
      <protection hidden="1"/>
    </xf>
    <xf numFmtId="0" fontId="107" fillId="0" borderId="0" xfId="0" applyFont="1" applyBorder="1" applyAlignment="1">
      <alignment horizontal="right"/>
    </xf>
    <xf numFmtId="174" fontId="7" fillId="0" borderId="37" xfId="0" applyNumberFormat="1" applyFont="1" applyBorder="1" applyAlignment="1" applyProtection="1">
      <alignment horizontal="center"/>
      <protection hidden="1"/>
    </xf>
    <xf numFmtId="185" fontId="28" fillId="12" borderId="7" xfId="0" applyNumberFormat="1" applyFont="1" applyFill="1" applyBorder="1" applyAlignment="1">
      <alignment horizontal="center"/>
    </xf>
    <xf numFmtId="0" fontId="22" fillId="9" borderId="37" xfId="0" applyFont="1" applyFill="1" applyBorder="1" applyAlignment="1" applyProtection="1">
      <alignment horizontal="right"/>
      <protection hidden="1"/>
    </xf>
    <xf numFmtId="1" fontId="7" fillId="9" borderId="38" xfId="0" applyNumberFormat="1" applyFont="1" applyFill="1" applyBorder="1" applyAlignment="1" applyProtection="1">
      <alignment horizontal="center"/>
      <protection hidden="1"/>
    </xf>
    <xf numFmtId="0" fontId="30" fillId="0" borderId="7" xfId="0" applyFont="1" applyBorder="1" applyAlignment="1">
      <alignment horizontal="center"/>
    </xf>
    <xf numFmtId="0" fontId="0" fillId="0" borderId="39" xfId="0" applyBorder="1"/>
    <xf numFmtId="194" fontId="109" fillId="0" borderId="19" xfId="0" applyNumberFormat="1" applyFont="1" applyBorder="1" applyAlignment="1">
      <alignment horizontal="center"/>
    </xf>
    <xf numFmtId="0" fontId="0" fillId="9" borderId="40" xfId="0" applyFill="1" applyBorder="1"/>
    <xf numFmtId="0" fontId="0" fillId="9" borderId="38" xfId="0" applyFill="1" applyBorder="1"/>
    <xf numFmtId="2" fontId="0" fillId="0" borderId="9" xfId="0" applyNumberFormat="1" applyBorder="1" applyAlignment="1" applyProtection="1">
      <alignment horizontal="center"/>
      <protection hidden="1"/>
    </xf>
    <xf numFmtId="2" fontId="0" fillId="0" borderId="4" xfId="0" applyNumberFormat="1" applyBorder="1" applyAlignment="1" applyProtection="1">
      <alignment horizontal="center"/>
      <protection hidden="1"/>
    </xf>
    <xf numFmtId="2" fontId="6" fillId="0" borderId="9" xfId="0" applyNumberFormat="1" applyFont="1" applyBorder="1" applyAlignment="1" applyProtection="1">
      <alignment horizontal="center"/>
      <protection hidden="1"/>
    </xf>
    <xf numFmtId="0" fontId="36" fillId="9" borderId="18" xfId="0" applyFont="1" applyFill="1" applyBorder="1" applyAlignment="1" applyProtection="1">
      <alignment horizontal="right"/>
      <protection hidden="1"/>
    </xf>
    <xf numFmtId="2" fontId="6" fillId="9" borderId="5" xfId="0" applyNumberFormat="1" applyFont="1" applyFill="1" applyBorder="1" applyAlignment="1" applyProtection="1">
      <alignment horizontal="center"/>
      <protection hidden="1"/>
    </xf>
    <xf numFmtId="0" fontId="36" fillId="9" borderId="5" xfId="0" applyFont="1" applyFill="1" applyBorder="1" applyProtection="1">
      <protection hidden="1"/>
    </xf>
    <xf numFmtId="0" fontId="0" fillId="9" borderId="5" xfId="0" applyFill="1" applyBorder="1" applyAlignment="1" applyProtection="1">
      <alignment horizontal="center"/>
      <protection hidden="1"/>
    </xf>
    <xf numFmtId="0" fontId="5" fillId="9" borderId="37" xfId="0" applyFont="1" applyFill="1" applyBorder="1" applyProtection="1">
      <protection hidden="1"/>
    </xf>
    <xf numFmtId="0" fontId="5" fillId="9" borderId="40" xfId="0" applyFont="1" applyFill="1" applyBorder="1" applyProtection="1">
      <protection hidden="1"/>
    </xf>
    <xf numFmtId="0" fontId="0" fillId="9" borderId="40" xfId="0" applyFill="1" applyBorder="1" applyProtection="1">
      <protection hidden="1"/>
    </xf>
    <xf numFmtId="0" fontId="0" fillId="9" borderId="38" xfId="0" applyFill="1" applyBorder="1" applyProtection="1">
      <protection hidden="1"/>
    </xf>
    <xf numFmtId="205" fontId="6" fillId="9" borderId="0" xfId="0" applyNumberFormat="1" applyFont="1" applyFill="1" applyBorder="1" applyAlignment="1" applyProtection="1">
      <alignment horizontal="center"/>
      <protection hidden="1"/>
    </xf>
    <xf numFmtId="0" fontId="0" fillId="9" borderId="32" xfId="0" applyFill="1" applyBorder="1" applyProtection="1">
      <protection hidden="1"/>
    </xf>
    <xf numFmtId="0" fontId="0" fillId="9" borderId="18" xfId="0" applyFill="1" applyBorder="1" applyProtection="1">
      <protection hidden="1"/>
    </xf>
    <xf numFmtId="0" fontId="0" fillId="9" borderId="16" xfId="0" applyFill="1" applyBorder="1" applyProtection="1">
      <protection hidden="1"/>
    </xf>
    <xf numFmtId="0" fontId="0" fillId="9" borderId="0" xfId="0" applyFill="1" applyBorder="1" applyProtection="1">
      <protection hidden="1"/>
    </xf>
    <xf numFmtId="0" fontId="0" fillId="9" borderId="5" xfId="0" applyFill="1" applyBorder="1" applyProtection="1">
      <protection hidden="1"/>
    </xf>
    <xf numFmtId="2" fontId="7" fillId="5" borderId="4" xfId="0" applyNumberFormat="1" applyFont="1" applyFill="1" applyBorder="1" applyAlignment="1" applyProtection="1">
      <alignment horizontal="center"/>
      <protection hidden="1"/>
    </xf>
    <xf numFmtId="192" fontId="110" fillId="0" borderId="19" xfId="0" applyNumberFormat="1" applyFont="1" applyBorder="1" applyAlignment="1" applyProtection="1">
      <alignment horizontal="center"/>
      <protection hidden="1"/>
    </xf>
    <xf numFmtId="193" fontId="111" fillId="0" borderId="6" xfId="0" applyNumberFormat="1" applyFont="1" applyBorder="1" applyAlignment="1" applyProtection="1">
      <alignment horizontal="center"/>
      <protection hidden="1"/>
    </xf>
    <xf numFmtId="190" fontId="108" fillId="0" borderId="19" xfId="0" applyNumberFormat="1" applyFont="1" applyBorder="1" applyAlignment="1" applyProtection="1">
      <alignment horizontal="center"/>
      <protection locked="0"/>
    </xf>
    <xf numFmtId="0" fontId="45" fillId="5" borderId="4" xfId="0" applyFont="1" applyFill="1" applyBorder="1" applyAlignment="1" applyProtection="1">
      <alignment horizontal="center"/>
      <protection locked="0"/>
    </xf>
    <xf numFmtId="2" fontId="45" fillId="5" borderId="4" xfId="0" applyNumberFormat="1" applyFont="1" applyFill="1" applyBorder="1" applyAlignment="1" applyProtection="1">
      <alignment horizontal="center"/>
      <protection locked="0"/>
    </xf>
    <xf numFmtId="0" fontId="97" fillId="0" borderId="4" xfId="0" applyFont="1" applyBorder="1" applyAlignment="1" applyProtection="1">
      <alignment horizontal="center"/>
      <protection locked="0"/>
    </xf>
    <xf numFmtId="169" fontId="45" fillId="10" borderId="0" xfId="0" applyNumberFormat="1" applyFont="1" applyFill="1" applyAlignment="1" applyProtection="1">
      <alignment horizontal="center"/>
      <protection locked="0"/>
    </xf>
    <xf numFmtId="1" fontId="45" fillId="10" borderId="0" xfId="0" applyNumberFormat="1" applyFont="1" applyFill="1" applyAlignment="1" applyProtection="1">
      <alignment horizontal="center"/>
      <protection locked="0"/>
    </xf>
    <xf numFmtId="0" fontId="29" fillId="14" borderId="4" xfId="0" applyFont="1" applyFill="1" applyBorder="1" applyAlignment="1" applyProtection="1">
      <alignment horizontal="center"/>
      <protection locked="0"/>
    </xf>
    <xf numFmtId="0" fontId="13" fillId="10" borderId="4" xfId="0" applyFont="1" applyFill="1" applyBorder="1" applyAlignment="1" applyProtection="1">
      <alignment horizontal="center"/>
      <protection hidden="1"/>
    </xf>
    <xf numFmtId="0" fontId="6" fillId="5" borderId="0" xfId="0" applyFont="1" applyFill="1" applyAlignment="1">
      <alignment horizontal="center"/>
    </xf>
    <xf numFmtId="0" fontId="6" fillId="10" borderId="0" xfId="0" applyFont="1" applyFill="1" applyAlignment="1">
      <alignment horizontal="center"/>
    </xf>
    <xf numFmtId="0" fontId="29" fillId="0" borderId="0" xfId="0" applyFont="1" applyAlignment="1">
      <alignment horizontal="center"/>
    </xf>
    <xf numFmtId="0" fontId="36" fillId="0" borderId="0" xfId="0" applyFont="1" applyAlignment="1">
      <alignment horizontal="center"/>
    </xf>
    <xf numFmtId="0" fontId="6" fillId="0" borderId="0" xfId="0" applyFont="1" applyAlignment="1" applyProtection="1">
      <alignment horizontal="center"/>
      <protection hidden="1"/>
    </xf>
    <xf numFmtId="0" fontId="7" fillId="9" borderId="41" xfId="0" applyFont="1" applyFill="1" applyBorder="1" applyAlignment="1" applyProtection="1">
      <alignment horizontal="center" vertical="center" textRotation="90"/>
      <protection hidden="1"/>
    </xf>
    <xf numFmtId="0" fontId="0" fillId="0" borderId="32" xfId="0" applyBorder="1" applyAlignment="1"/>
    <xf numFmtId="0" fontId="0" fillId="0" borderId="16" xfId="0" applyBorder="1" applyAlignment="1"/>
    <xf numFmtId="0" fontId="33" fillId="0" borderId="1" xfId="0" applyFont="1" applyBorder="1" applyAlignment="1" applyProtection="1">
      <alignment horizontal="center"/>
      <protection locked="0"/>
    </xf>
    <xf numFmtId="0" fontId="33" fillId="0" borderId="2" xfId="0" applyFont="1" applyBorder="1" applyAlignment="1" applyProtection="1">
      <alignment horizontal="center"/>
      <protection locked="0"/>
    </xf>
    <xf numFmtId="0" fontId="33" fillId="0" borderId="3" xfId="0" applyFont="1" applyBorder="1" applyAlignment="1" applyProtection="1">
      <alignment horizontal="center"/>
      <protection locked="0"/>
    </xf>
    <xf numFmtId="0" fontId="54" fillId="0" borderId="0" xfId="0" applyFont="1" applyAlignment="1" applyProtection="1">
      <alignment horizontal="center"/>
      <protection hidden="1"/>
    </xf>
    <xf numFmtId="0" fontId="22" fillId="0" borderId="4" xfId="0" applyFont="1" applyFill="1" applyBorder="1" applyAlignment="1">
      <alignment horizontal="left"/>
    </xf>
    <xf numFmtId="0" fontId="0" fillId="0" borderId="12" xfId="0" applyFill="1" applyBorder="1" applyAlignment="1">
      <alignment horizontal="center"/>
    </xf>
    <xf numFmtId="0" fontId="0" fillId="0" borderId="0" xfId="0" applyFill="1" applyBorder="1" applyAlignment="1">
      <alignment horizontal="center"/>
    </xf>
    <xf numFmtId="14" fontId="40" fillId="9" borderId="1" xfId="0" applyNumberFormat="1" applyFont="1" applyFill="1" applyBorder="1" applyAlignment="1" applyProtection="1">
      <alignment horizontal="center"/>
      <protection locked="0"/>
    </xf>
    <xf numFmtId="14" fontId="40" fillId="9" borderId="3" xfId="0" applyNumberFormat="1" applyFont="1" applyFill="1" applyBorder="1" applyAlignment="1" applyProtection="1">
      <alignment horizontal="center"/>
      <protection locked="0"/>
    </xf>
    <xf numFmtId="0" fontId="6" fillId="5" borderId="10" xfId="0" applyFont="1" applyFill="1" applyBorder="1" applyAlignment="1">
      <alignment horizontal="center"/>
    </xf>
    <xf numFmtId="0" fontId="6" fillId="5" borderId="19" xfId="0" applyFont="1" applyFill="1" applyBorder="1" applyAlignment="1">
      <alignment horizontal="center"/>
    </xf>
    <xf numFmtId="0" fontId="6" fillId="5" borderId="6" xfId="0" applyFont="1" applyFill="1" applyBorder="1" applyAlignment="1">
      <alignment horizontal="center"/>
    </xf>
    <xf numFmtId="0" fontId="6" fillId="3" borderId="10" xfId="0" applyFont="1" applyFill="1" applyBorder="1" applyAlignment="1">
      <alignment horizontal="center"/>
    </xf>
    <xf numFmtId="0" fontId="6" fillId="3" borderId="6" xfId="0" applyFont="1" applyFill="1" applyBorder="1" applyAlignment="1">
      <alignment horizontal="center"/>
    </xf>
    <xf numFmtId="0" fontId="6" fillId="3" borderId="18" xfId="0" applyFont="1" applyFill="1" applyBorder="1" applyAlignment="1">
      <alignment horizontal="center"/>
    </xf>
    <xf numFmtId="0" fontId="6" fillId="3" borderId="16" xfId="0" applyFont="1" applyFill="1" applyBorder="1" applyAlignment="1">
      <alignment horizontal="center"/>
    </xf>
    <xf numFmtId="0" fontId="0" fillId="0" borderId="4" xfId="0" applyBorder="1" applyAlignment="1">
      <alignment horizontal="center"/>
    </xf>
    <xf numFmtId="0" fontId="107" fillId="0" borderId="10" xfId="0" applyFont="1" applyBorder="1" applyAlignment="1">
      <alignment horizontal="center"/>
    </xf>
    <xf numFmtId="0" fontId="107" fillId="0" borderId="19" xfId="0" applyFont="1" applyBorder="1" applyAlignment="1">
      <alignment horizontal="center"/>
    </xf>
    <xf numFmtId="0" fontId="10" fillId="4" borderId="10" xfId="0" applyFont="1" applyFill="1" applyBorder="1" applyAlignment="1">
      <alignment horizontal="center"/>
    </xf>
    <xf numFmtId="0" fontId="10" fillId="4" borderId="19" xfId="0" applyFont="1" applyFill="1" applyBorder="1" applyAlignment="1">
      <alignment horizontal="center"/>
    </xf>
    <xf numFmtId="0" fontId="10" fillId="4" borderId="6" xfId="0" applyFont="1" applyFill="1" applyBorder="1" applyAlignment="1">
      <alignment horizontal="center"/>
    </xf>
    <xf numFmtId="0" fontId="11" fillId="9" borderId="35" xfId="0" applyFont="1" applyFill="1" applyBorder="1" applyAlignment="1" applyProtection="1">
      <alignment horizontal="center"/>
      <protection hidden="1"/>
    </xf>
    <xf numFmtId="0" fontId="11" fillId="9" borderId="4" xfId="0" applyFont="1" applyFill="1" applyBorder="1" applyAlignment="1" applyProtection="1">
      <alignment horizontal="center"/>
      <protection hidden="1"/>
    </xf>
    <xf numFmtId="0" fontId="12" fillId="9" borderId="0" xfId="0" applyFont="1" applyFill="1" applyAlignment="1">
      <alignment horizontal="center"/>
    </xf>
    <xf numFmtId="0" fontId="12" fillId="9" borderId="32" xfId="0" applyFont="1" applyFill="1" applyBorder="1" applyAlignment="1">
      <alignment horizontal="center"/>
    </xf>
    <xf numFmtId="0" fontId="11" fillId="9" borderId="0" xfId="0" applyFont="1" applyFill="1" applyAlignment="1">
      <alignment horizontal="right"/>
    </xf>
    <xf numFmtId="0" fontId="0" fillId="9" borderId="0" xfId="0" applyFill="1" applyAlignment="1">
      <alignment horizontal="right"/>
    </xf>
    <xf numFmtId="0" fontId="6" fillId="5" borderId="37" xfId="0" applyFont="1" applyFill="1" applyBorder="1" applyAlignment="1" applyProtection="1">
      <alignment horizontal="center"/>
      <protection hidden="1"/>
    </xf>
    <xf numFmtId="0" fontId="6" fillId="5" borderId="40" xfId="0" applyFont="1" applyFill="1" applyBorder="1" applyAlignment="1" applyProtection="1">
      <alignment horizontal="center"/>
      <protection hidden="1"/>
    </xf>
    <xf numFmtId="0" fontId="6" fillId="5" borderId="38" xfId="0" applyFont="1" applyFill="1" applyBorder="1" applyAlignment="1" applyProtection="1">
      <alignment horizontal="center"/>
      <protection hidden="1"/>
    </xf>
    <xf numFmtId="0" fontId="28" fillId="9" borderId="35" xfId="0" applyFont="1" applyFill="1" applyBorder="1" applyAlignment="1" applyProtection="1">
      <alignment horizontal="center"/>
      <protection hidden="1"/>
    </xf>
    <xf numFmtId="0" fontId="28" fillId="9" borderId="4" xfId="0" applyFont="1" applyFill="1" applyBorder="1" applyAlignment="1" applyProtection="1">
      <alignment horizontal="center"/>
      <protection hidden="1"/>
    </xf>
    <xf numFmtId="0" fontId="36" fillId="5" borderId="10" xfId="0" applyFont="1" applyFill="1" applyBorder="1" applyAlignment="1">
      <alignment horizontal="center"/>
    </xf>
    <xf numFmtId="0" fontId="36" fillId="5" borderId="19" xfId="0" applyFont="1" applyFill="1" applyBorder="1" applyAlignment="1">
      <alignment horizontal="center"/>
    </xf>
    <xf numFmtId="0" fontId="36" fillId="5" borderId="6" xfId="0" applyFont="1" applyFill="1" applyBorder="1" applyAlignment="1">
      <alignment horizontal="center"/>
    </xf>
    <xf numFmtId="0" fontId="36" fillId="0" borderId="10" xfId="0" applyFont="1" applyBorder="1" applyAlignment="1">
      <alignment horizontal="center"/>
    </xf>
    <xf numFmtId="0" fontId="36" fillId="0" borderId="6" xfId="0" applyFont="1" applyBorder="1" applyAlignment="1">
      <alignment horizontal="center"/>
    </xf>
    <xf numFmtId="0" fontId="18" fillId="0" borderId="8" xfId="0" applyFont="1" applyBorder="1" applyAlignment="1">
      <alignment horizontal="center" wrapText="1"/>
    </xf>
    <xf numFmtId="0" fontId="0" fillId="0" borderId="8" xfId="0" applyBorder="1" applyAlignment="1">
      <alignment horizontal="center" wrapText="1"/>
    </xf>
    <xf numFmtId="0" fontId="43" fillId="0" borderId="0" xfId="0" applyFont="1" applyAlignment="1">
      <alignment horizontal="center"/>
    </xf>
    <xf numFmtId="0" fontId="43" fillId="0" borderId="5" xfId="0" applyFont="1" applyBorder="1" applyAlignment="1">
      <alignment horizontal="center"/>
    </xf>
    <xf numFmtId="0" fontId="39" fillId="0" borderId="4" xfId="0" applyFont="1" applyBorder="1" applyAlignment="1">
      <alignment horizontal="center" vertical="center"/>
    </xf>
    <xf numFmtId="0" fontId="36" fillId="0" borderId="7" xfId="0" applyFont="1" applyBorder="1" applyAlignment="1" applyProtection="1">
      <alignment horizontal="center" vertical="center"/>
      <protection hidden="1"/>
    </xf>
    <xf numFmtId="0" fontId="36" fillId="0" borderId="9" xfId="0" applyFont="1" applyBorder="1" applyAlignment="1" applyProtection="1">
      <alignment horizontal="center" vertical="center"/>
      <protection hidden="1"/>
    </xf>
    <xf numFmtId="0" fontId="37" fillId="0" borderId="0" xfId="0" applyFont="1" applyAlignment="1">
      <alignment horizontal="center"/>
    </xf>
    <xf numFmtId="0" fontId="28" fillId="0" borderId="0" xfId="0" applyFont="1" applyAlignment="1">
      <alignment horizontal="center"/>
    </xf>
    <xf numFmtId="0" fontId="28" fillId="5" borderId="10" xfId="0" applyFont="1" applyFill="1" applyBorder="1" applyAlignment="1">
      <alignment horizontal="justify" vertical="center" wrapText="1"/>
    </xf>
    <xf numFmtId="0" fontId="0" fillId="5" borderId="19" xfId="0" applyFill="1" applyBorder="1" applyAlignment="1">
      <alignment horizontal="justify" vertical="center" wrapText="1"/>
    </xf>
    <xf numFmtId="0" fontId="0" fillId="5" borderId="6" xfId="0" applyFill="1" applyBorder="1" applyAlignment="1">
      <alignment horizontal="justify" vertical="center" wrapText="1"/>
    </xf>
    <xf numFmtId="0" fontId="83" fillId="5" borderId="10" xfId="0" applyFont="1" applyFill="1" applyBorder="1" applyAlignment="1">
      <alignment horizontal="justify" vertical="center" wrapText="1"/>
    </xf>
    <xf numFmtId="0" fontId="83" fillId="5" borderId="19" xfId="0" applyFont="1" applyFill="1" applyBorder="1" applyAlignment="1">
      <alignment horizontal="justify" vertical="center" wrapText="1"/>
    </xf>
    <xf numFmtId="0" fontId="83" fillId="5" borderId="6" xfId="0" applyFont="1" applyFill="1" applyBorder="1" applyAlignment="1">
      <alignment horizontal="justify" vertical="center" wrapText="1"/>
    </xf>
    <xf numFmtId="0" fontId="6" fillId="12" borderId="37" xfId="0" applyFont="1" applyFill="1" applyBorder="1" applyAlignment="1">
      <alignment horizontal="center" vertical="center"/>
    </xf>
    <xf numFmtId="0" fontId="0" fillId="12" borderId="40" xfId="0" applyFill="1" applyBorder="1" applyAlignment="1">
      <alignment horizontal="center" vertical="center"/>
    </xf>
    <xf numFmtId="0" fontId="0" fillId="12" borderId="38" xfId="0" applyFill="1" applyBorder="1" applyAlignment="1">
      <alignment horizontal="center" vertical="center"/>
    </xf>
    <xf numFmtId="0" fontId="0" fillId="12" borderId="18" xfId="0" applyFill="1" applyBorder="1" applyAlignment="1">
      <alignment horizontal="center" vertical="center"/>
    </xf>
    <xf numFmtId="0" fontId="0" fillId="12" borderId="5" xfId="0" applyFill="1" applyBorder="1" applyAlignment="1">
      <alignment horizontal="center" vertical="center"/>
    </xf>
    <xf numFmtId="0" fontId="0" fillId="12" borderId="16" xfId="0" applyFill="1" applyBorder="1" applyAlignment="1">
      <alignment horizontal="center" vertical="center"/>
    </xf>
    <xf numFmtId="0" fontId="50" fillId="0" borderId="40" xfId="0" applyFont="1" applyBorder="1" applyAlignment="1">
      <alignment horizontal="center"/>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0" fillId="0" borderId="0" xfId="0" applyBorder="1" applyAlignment="1">
      <alignment horizontal="center"/>
    </xf>
    <xf numFmtId="0" fontId="92" fillId="12" borderId="10" xfId="0" applyFont="1" applyFill="1" applyBorder="1" applyAlignment="1">
      <alignment horizontal="center"/>
    </xf>
    <xf numFmtId="0" fontId="92" fillId="12" borderId="6" xfId="0" applyFont="1" applyFill="1" applyBorder="1" applyAlignment="1">
      <alignment horizontal="center"/>
    </xf>
    <xf numFmtId="0" fontId="1" fillId="12" borderId="10" xfId="0" applyFont="1" applyFill="1" applyBorder="1" applyAlignment="1">
      <alignment horizontal="center"/>
    </xf>
    <xf numFmtId="0" fontId="1" fillId="12" borderId="6" xfId="0" applyFont="1" applyFill="1" applyBorder="1" applyAlignment="1">
      <alignment horizontal="center"/>
    </xf>
    <xf numFmtId="0" fontId="36" fillId="12" borderId="10" xfId="0" applyFont="1" applyFill="1" applyBorder="1" applyAlignment="1">
      <alignment horizontal="center"/>
    </xf>
    <xf numFmtId="0" fontId="36" fillId="12" borderId="6" xfId="0" applyFont="1" applyFill="1" applyBorder="1" applyAlignment="1">
      <alignment horizontal="center"/>
    </xf>
    <xf numFmtId="0" fontId="0" fillId="0" borderId="0" xfId="0" applyAlignment="1">
      <alignment horizontal="center"/>
    </xf>
    <xf numFmtId="0" fontId="36" fillId="17" borderId="10" xfId="0" applyFont="1" applyFill="1" applyBorder="1" applyAlignment="1">
      <alignment horizontal="center"/>
    </xf>
    <xf numFmtId="0" fontId="36" fillId="17" borderId="19" xfId="0" applyFont="1" applyFill="1" applyBorder="1" applyAlignment="1">
      <alignment horizontal="center"/>
    </xf>
    <xf numFmtId="0" fontId="36" fillId="17" borderId="6" xfId="0" applyFont="1" applyFill="1" applyBorder="1" applyAlignment="1">
      <alignment horizontal="center"/>
    </xf>
    <xf numFmtId="2" fontId="3" fillId="5" borderId="42" xfId="0" applyNumberFormat="1" applyFont="1" applyFill="1" applyBorder="1" applyAlignment="1" applyProtection="1">
      <alignment horizontal="center"/>
      <protection hidden="1"/>
    </xf>
    <xf numFmtId="2" fontId="3" fillId="5" borderId="3" xfId="0" applyNumberFormat="1" applyFont="1" applyFill="1" applyBorder="1" applyAlignment="1" applyProtection="1">
      <alignment horizontal="center"/>
      <protection hidden="1"/>
    </xf>
    <xf numFmtId="0" fontId="6" fillId="5" borderId="42" xfId="0" applyFont="1" applyFill="1" applyBorder="1" applyAlignment="1" applyProtection="1">
      <alignment horizontal="center"/>
      <protection hidden="1"/>
    </xf>
    <xf numFmtId="0" fontId="6" fillId="5" borderId="3" xfId="0" applyFont="1" applyFill="1" applyBorder="1" applyAlignment="1" applyProtection="1">
      <alignment horizontal="center"/>
      <protection hidden="1"/>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54" fillId="0" borderId="10" xfId="0" applyFont="1" applyBorder="1" applyAlignment="1">
      <alignment horizontal="center"/>
    </xf>
    <xf numFmtId="0" fontId="54" fillId="0" borderId="19" xfId="0" applyFont="1" applyBorder="1" applyAlignment="1">
      <alignment horizontal="center"/>
    </xf>
    <xf numFmtId="0" fontId="54" fillId="0" borderId="6" xfId="0" applyFont="1" applyBorder="1" applyAlignment="1">
      <alignment horizontal="center"/>
    </xf>
    <xf numFmtId="0" fontId="37" fillId="5" borderId="0" xfId="0" applyFont="1" applyFill="1" applyAlignment="1">
      <alignment horizontal="center"/>
    </xf>
    <xf numFmtId="21" fontId="45" fillId="9" borderId="10" xfId="0" applyNumberFormat="1" applyFont="1" applyFill="1" applyBorder="1" applyAlignment="1" applyProtection="1">
      <alignment horizontal="center"/>
      <protection locked="0"/>
    </xf>
    <xf numFmtId="21" fontId="45" fillId="9" borderId="6" xfId="0" applyNumberFormat="1" applyFont="1" applyFill="1" applyBorder="1" applyAlignment="1" applyProtection="1">
      <alignment horizontal="center"/>
      <protection locked="0"/>
    </xf>
    <xf numFmtId="0" fontId="5" fillId="9" borderId="37" xfId="0" applyFont="1" applyFill="1" applyBorder="1" applyAlignment="1">
      <alignment horizontal="center"/>
    </xf>
    <xf numFmtId="0" fontId="5" fillId="9" borderId="38" xfId="0" applyFont="1" applyFill="1" applyBorder="1" applyAlignment="1">
      <alignment horizontal="center"/>
    </xf>
    <xf numFmtId="205" fontId="6" fillId="9" borderId="5" xfId="0" applyNumberFormat="1" applyFont="1" applyFill="1" applyBorder="1" applyAlignment="1" applyProtection="1">
      <alignment horizontal="center"/>
      <protection hidden="1"/>
    </xf>
    <xf numFmtId="0" fontId="36" fillId="9" borderId="5" xfId="0" applyFont="1" applyFill="1" applyBorder="1" applyAlignment="1" applyProtection="1">
      <alignment horizontal="left"/>
      <protection hidden="1"/>
    </xf>
    <xf numFmtId="0" fontId="36" fillId="9" borderId="16" xfId="0" applyFont="1" applyFill="1" applyBorder="1" applyAlignment="1" applyProtection="1">
      <alignment horizontal="left"/>
      <protection hidden="1"/>
    </xf>
    <xf numFmtId="0" fontId="0" fillId="9" borderId="0" xfId="0" applyFill="1" applyBorder="1" applyAlignment="1" applyProtection="1">
      <alignment horizontal="center"/>
      <protection hidden="1"/>
    </xf>
    <xf numFmtId="0" fontId="0" fillId="9" borderId="32" xfId="0" applyFill="1" applyBorder="1" applyAlignment="1" applyProtection="1">
      <alignment horizontal="center"/>
      <protection hidden="1"/>
    </xf>
    <xf numFmtId="0" fontId="0" fillId="9" borderId="0" xfId="0" applyFill="1" applyBorder="1" applyAlignment="1" applyProtection="1">
      <alignment horizontal="right"/>
      <protection hidden="1"/>
    </xf>
    <xf numFmtId="205" fontId="6" fillId="9" borderId="0" xfId="0" applyNumberFormat="1" applyFont="1" applyFill="1" applyBorder="1" applyAlignment="1" applyProtection="1">
      <alignment horizontal="center"/>
      <protection hidden="1"/>
    </xf>
    <xf numFmtId="0" fontId="0" fillId="9" borderId="5" xfId="0" applyFill="1" applyBorder="1" applyAlignment="1" applyProtection="1">
      <alignment horizontal="center"/>
      <protection hidden="1"/>
    </xf>
    <xf numFmtId="0" fontId="99" fillId="5" borderId="10" xfId="0" applyFont="1" applyFill="1" applyBorder="1" applyAlignment="1">
      <alignment horizontal="center"/>
    </xf>
    <xf numFmtId="0" fontId="99" fillId="5" borderId="19" xfId="0" applyFont="1" applyFill="1" applyBorder="1" applyAlignment="1">
      <alignment horizontal="center"/>
    </xf>
    <xf numFmtId="0" fontId="99" fillId="5" borderId="6" xfId="0" applyFont="1" applyFill="1" applyBorder="1" applyAlignment="1">
      <alignment horizontal="center"/>
    </xf>
    <xf numFmtId="0" fontId="49" fillId="13" borderId="37" xfId="0" applyFont="1" applyFill="1" applyBorder="1" applyAlignment="1" applyProtection="1">
      <alignment horizontal="center" vertical="center"/>
      <protection hidden="1"/>
    </xf>
    <xf numFmtId="0" fontId="49" fillId="13" borderId="40" xfId="0" applyFont="1" applyFill="1" applyBorder="1" applyAlignment="1" applyProtection="1">
      <alignment horizontal="center" vertical="center"/>
      <protection hidden="1"/>
    </xf>
    <xf numFmtId="0" fontId="49" fillId="13" borderId="38" xfId="0" applyFont="1" applyFill="1" applyBorder="1" applyAlignment="1" applyProtection="1">
      <alignment horizontal="center" vertical="center"/>
      <protection hidden="1"/>
    </xf>
    <xf numFmtId="0" fontId="49" fillId="13" borderId="18" xfId="0" applyFont="1" applyFill="1" applyBorder="1" applyAlignment="1" applyProtection="1">
      <alignment horizontal="center" vertical="center"/>
      <protection hidden="1"/>
    </xf>
    <xf numFmtId="0" fontId="49" fillId="13" borderId="5" xfId="0" applyFont="1" applyFill="1" applyBorder="1" applyAlignment="1" applyProtection="1">
      <alignment horizontal="center" vertical="center"/>
      <protection hidden="1"/>
    </xf>
    <xf numFmtId="0" fontId="49" fillId="13" borderId="16" xfId="0" applyFont="1" applyFill="1" applyBorder="1" applyAlignment="1" applyProtection="1">
      <alignment horizontal="center" vertical="center"/>
      <protection hidden="1"/>
    </xf>
    <xf numFmtId="0" fontId="0" fillId="0" borderId="19" xfId="0" applyBorder="1" applyAlignment="1" applyProtection="1">
      <alignment horizontal="center"/>
      <protection hidden="1"/>
    </xf>
    <xf numFmtId="0" fontId="36" fillId="0" borderId="18"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16" xfId="0" applyFont="1" applyBorder="1" applyAlignment="1">
      <alignment horizontal="center" vertical="center" wrapText="1"/>
    </xf>
    <xf numFmtId="0" fontId="0" fillId="0" borderId="10" xfId="0" applyBorder="1" applyAlignment="1" applyProtection="1">
      <alignment horizontal="center" vertical="top"/>
      <protection hidden="1"/>
    </xf>
    <xf numFmtId="0" fontId="0" fillId="0" borderId="6" xfId="0" applyBorder="1"/>
    <xf numFmtId="0" fontId="36" fillId="0" borderId="37" xfId="0" applyFont="1" applyBorder="1" applyAlignment="1" applyProtection="1">
      <alignment horizontal="center" vertical="center" wrapText="1"/>
      <protection hidden="1"/>
    </xf>
    <xf numFmtId="0" fontId="36" fillId="0" borderId="40" xfId="0" applyFont="1" applyBorder="1" applyAlignment="1" applyProtection="1">
      <alignment horizontal="center" vertical="center" wrapText="1"/>
      <protection hidden="1"/>
    </xf>
    <xf numFmtId="0" fontId="36" fillId="0" borderId="38" xfId="0" applyFont="1" applyBorder="1" applyAlignment="1" applyProtection="1">
      <alignment horizontal="center" vertical="center" wrapText="1"/>
      <protection hidden="1"/>
    </xf>
    <xf numFmtId="0" fontId="36" fillId="0" borderId="18" xfId="0" applyFont="1" applyBorder="1" applyAlignment="1" applyProtection="1">
      <alignment horizontal="center" vertical="center" wrapText="1"/>
      <protection hidden="1"/>
    </xf>
    <xf numFmtId="0" fontId="36" fillId="0" borderId="5" xfId="0" applyFont="1" applyBorder="1" applyAlignment="1" applyProtection="1">
      <alignment horizontal="center" vertical="center" wrapText="1"/>
      <protection hidden="1"/>
    </xf>
    <xf numFmtId="0" fontId="36" fillId="0" borderId="16" xfId="0" applyFont="1" applyBorder="1" applyAlignment="1" applyProtection="1">
      <alignment horizontal="center" vertical="center" wrapText="1"/>
      <protection hidden="1"/>
    </xf>
    <xf numFmtId="0" fontId="0" fillId="0" borderId="6" xfId="0" applyBorder="1" applyAlignment="1" applyProtection="1">
      <alignment horizontal="center"/>
      <protection hidden="1"/>
    </xf>
    <xf numFmtId="0" fontId="0" fillId="0" borderId="19" xfId="0" applyBorder="1" applyAlignment="1" applyProtection="1">
      <alignment horizontal="center" vertical="top"/>
      <protection hidden="1"/>
    </xf>
    <xf numFmtId="0" fontId="36" fillId="0" borderId="37" xfId="0" applyFont="1" applyBorder="1" applyAlignment="1" applyProtection="1">
      <alignment horizontal="center" vertical="top" wrapText="1"/>
      <protection hidden="1"/>
    </xf>
    <xf numFmtId="0" fontId="36" fillId="0" borderId="40" xfId="0" applyFont="1" applyBorder="1" applyAlignment="1" applyProtection="1">
      <alignment horizontal="center" vertical="top" wrapText="1"/>
      <protection hidden="1"/>
    </xf>
    <xf numFmtId="0" fontId="36" fillId="0" borderId="38" xfId="0" applyFont="1" applyBorder="1" applyAlignment="1" applyProtection="1">
      <alignment horizontal="center" vertical="top" wrapText="1"/>
      <protection hidden="1"/>
    </xf>
    <xf numFmtId="0" fontId="0" fillId="0" borderId="10" xfId="0" applyBorder="1" applyAlignment="1" applyProtection="1">
      <alignment horizontal="center"/>
      <protection hidden="1"/>
    </xf>
    <xf numFmtId="0" fontId="36" fillId="0" borderId="12" xfId="0" applyFont="1" applyBorder="1" applyAlignment="1">
      <alignment horizontal="center" wrapText="1"/>
    </xf>
    <xf numFmtId="0" fontId="36" fillId="0" borderId="0" xfId="0" applyFont="1" applyBorder="1" applyAlignment="1">
      <alignment horizontal="center" wrapText="1"/>
    </xf>
    <xf numFmtId="0" fontId="36" fillId="0" borderId="32" xfId="0" applyFont="1" applyBorder="1" applyAlignment="1">
      <alignment horizontal="center" wrapText="1"/>
    </xf>
    <xf numFmtId="0" fontId="6" fillId="13" borderId="10" xfId="0" applyFont="1" applyFill="1" applyBorder="1" applyAlignment="1" applyProtection="1">
      <alignment horizontal="center"/>
      <protection hidden="1"/>
    </xf>
    <xf numFmtId="0" fontId="6" fillId="13" borderId="19" xfId="0" applyFont="1" applyFill="1" applyBorder="1" applyAlignment="1" applyProtection="1">
      <alignment horizontal="center"/>
      <protection hidden="1"/>
    </xf>
    <xf numFmtId="0" fontId="6" fillId="13" borderId="6" xfId="0" applyFont="1" applyFill="1" applyBorder="1" applyAlignment="1" applyProtection="1">
      <alignment horizontal="center"/>
      <protection hidden="1"/>
    </xf>
    <xf numFmtId="0" fontId="6" fillId="5" borderId="10" xfId="0" applyFont="1" applyFill="1" applyBorder="1" applyAlignment="1" applyProtection="1">
      <alignment horizontal="center" vertical="center" wrapText="1"/>
      <protection hidden="1"/>
    </xf>
    <xf numFmtId="0" fontId="6" fillId="5" borderId="19" xfId="0" applyFont="1" applyFill="1" applyBorder="1" applyAlignment="1" applyProtection="1">
      <alignment horizontal="center" vertical="center" wrapText="1"/>
      <protection hidden="1"/>
    </xf>
    <xf numFmtId="0" fontId="6" fillId="5" borderId="6" xfId="0" applyFont="1" applyFill="1" applyBorder="1" applyAlignment="1" applyProtection="1">
      <alignment horizontal="center" vertical="center" wrapText="1"/>
      <protection hidden="1"/>
    </xf>
    <xf numFmtId="0" fontId="6" fillId="12" borderId="12" xfId="0" applyFont="1" applyFill="1" applyBorder="1" applyAlignment="1" applyProtection="1">
      <alignment horizontal="center" vertical="center" wrapText="1"/>
      <protection hidden="1"/>
    </xf>
    <xf numFmtId="0" fontId="6" fillId="12" borderId="0" xfId="0" applyFont="1" applyFill="1" applyBorder="1" applyAlignment="1" applyProtection="1">
      <alignment horizontal="center" vertical="center" wrapText="1"/>
      <protection hidden="1"/>
    </xf>
    <xf numFmtId="0" fontId="6" fillId="12" borderId="32" xfId="0" applyFont="1" applyFill="1" applyBorder="1" applyAlignment="1" applyProtection="1">
      <alignment horizontal="center" vertical="center" wrapText="1"/>
      <protection hidden="1"/>
    </xf>
    <xf numFmtId="0" fontId="6" fillId="12" borderId="18" xfId="0" applyFont="1" applyFill="1" applyBorder="1" applyAlignment="1" applyProtection="1">
      <alignment horizontal="center" vertical="center" wrapText="1"/>
      <protection hidden="1"/>
    </xf>
    <xf numFmtId="0" fontId="6" fillId="12" borderId="5" xfId="0" applyFont="1" applyFill="1" applyBorder="1" applyAlignment="1" applyProtection="1">
      <alignment horizontal="center" vertical="center" wrapText="1"/>
      <protection hidden="1"/>
    </xf>
    <xf numFmtId="0" fontId="6" fillId="12" borderId="16" xfId="0" applyFont="1" applyFill="1" applyBorder="1" applyAlignment="1" applyProtection="1">
      <alignment horizontal="center" vertical="center" wrapText="1"/>
      <protection hidden="1"/>
    </xf>
    <xf numFmtId="0" fontId="3" fillId="13" borderId="12" xfId="0" applyFont="1" applyFill="1" applyBorder="1" applyAlignment="1" applyProtection="1">
      <alignment horizontal="center" vertical="center" wrapText="1"/>
      <protection hidden="1"/>
    </xf>
    <xf numFmtId="0" fontId="0" fillId="0" borderId="0" xfId="0" applyBorder="1"/>
    <xf numFmtId="0" fontId="0" fillId="0" borderId="32" xfId="0" applyBorder="1"/>
    <xf numFmtId="0" fontId="0" fillId="0" borderId="18" xfId="0" applyBorder="1"/>
    <xf numFmtId="0" fontId="0" fillId="0" borderId="5" xfId="0" applyBorder="1"/>
    <xf numFmtId="0" fontId="0" fillId="0" borderId="16" xfId="0" applyBorder="1"/>
    <xf numFmtId="0" fontId="6" fillId="5" borderId="10" xfId="0" applyFont="1" applyFill="1" applyBorder="1" applyAlignment="1" applyProtection="1">
      <alignment horizontal="center"/>
      <protection hidden="1"/>
    </xf>
    <xf numFmtId="0" fontId="6" fillId="5" borderId="6" xfId="0" applyFont="1" applyFill="1" applyBorder="1" applyAlignment="1" applyProtection="1">
      <alignment horizontal="center"/>
      <protection hidden="1"/>
    </xf>
    <xf numFmtId="0" fontId="6" fillId="5" borderId="7" xfId="0" applyFont="1" applyFill="1" applyBorder="1" applyAlignment="1" applyProtection="1">
      <alignment horizontal="center" vertical="center" wrapText="1"/>
      <protection hidden="1"/>
    </xf>
    <xf numFmtId="0" fontId="0" fillId="0" borderId="9" xfId="0" applyBorder="1" applyAlignment="1" applyProtection="1">
      <alignment horizontal="center" vertical="center"/>
      <protection hidden="1"/>
    </xf>
    <xf numFmtId="0" fontId="98" fillId="18" borderId="10" xfId="0" applyFont="1" applyFill="1" applyBorder="1" applyAlignment="1" applyProtection="1">
      <alignment horizontal="center"/>
      <protection hidden="1"/>
    </xf>
    <xf numFmtId="0" fontId="98" fillId="18" borderId="19" xfId="0" applyFont="1" applyFill="1" applyBorder="1" applyAlignment="1" applyProtection="1">
      <alignment horizontal="center"/>
      <protection hidden="1"/>
    </xf>
    <xf numFmtId="0" fontId="98" fillId="18" borderId="6" xfId="0" applyFont="1" applyFill="1" applyBorder="1" applyAlignment="1" applyProtection="1">
      <alignment horizontal="center"/>
      <protection hidden="1"/>
    </xf>
    <xf numFmtId="0" fontId="6" fillId="5" borderId="9" xfId="0" applyFont="1" applyFill="1" applyBorder="1" applyAlignment="1"/>
    <xf numFmtId="0" fontId="6" fillId="4" borderId="4" xfId="0" applyFont="1" applyFill="1" applyBorder="1" applyAlignment="1" applyProtection="1">
      <alignment horizontal="center"/>
      <protection hidden="1"/>
    </xf>
    <xf numFmtId="0" fontId="91" fillId="0" borderId="40" xfId="0" applyFont="1" applyBorder="1" applyAlignment="1" applyProtection="1">
      <alignment horizontal="center"/>
      <protection hidden="1"/>
    </xf>
    <xf numFmtId="0" fontId="91" fillId="0" borderId="4" xfId="0" applyFont="1" applyBorder="1" applyAlignment="1" applyProtection="1">
      <alignment horizontal="center" vertical="center" wrapText="1"/>
      <protection hidden="1"/>
    </xf>
    <xf numFmtId="0" fontId="21" fillId="0" borderId="4" xfId="0" applyFont="1" applyBorder="1" applyAlignment="1" applyProtection="1">
      <alignment horizontal="center" vertical="center" wrapText="1"/>
      <protection hidden="1"/>
    </xf>
    <xf numFmtId="0" fontId="91" fillId="0" borderId="7" xfId="0" applyFont="1" applyBorder="1" applyAlignment="1" applyProtection="1">
      <alignment horizontal="center" vertical="center" wrapText="1"/>
      <protection hidden="1"/>
    </xf>
    <xf numFmtId="0" fontId="91" fillId="0" borderId="8" xfId="0" applyFont="1" applyBorder="1" applyAlignment="1" applyProtection="1">
      <alignment horizontal="center" vertical="center" wrapText="1"/>
      <protection hidden="1"/>
    </xf>
    <xf numFmtId="0" fontId="91" fillId="0" borderId="9" xfId="0" applyFont="1" applyBorder="1" applyAlignment="1">
      <alignment horizontal="center" vertical="center" wrapText="1"/>
    </xf>
    <xf numFmtId="0" fontId="0" fillId="0" borderId="0" xfId="0" applyAlignment="1" applyProtection="1">
      <alignment horizontal="center"/>
      <protection hidden="1"/>
    </xf>
    <xf numFmtId="0" fontId="0" fillId="0" borderId="0" xfId="0" applyBorder="1" applyAlignment="1" applyProtection="1">
      <alignment horizontal="center"/>
      <protection hidden="1"/>
    </xf>
    <xf numFmtId="0" fontId="82" fillId="10" borderId="12" xfId="1" applyFill="1" applyBorder="1" applyAlignment="1" applyProtection="1">
      <alignment horizontal="center" vertical="center"/>
    </xf>
    <xf numFmtId="0" fontId="82" fillId="10" borderId="32" xfId="1" applyFill="1" applyBorder="1" applyAlignment="1" applyProtection="1">
      <alignment horizontal="center" vertical="center"/>
    </xf>
    <xf numFmtId="0" fontId="84" fillId="9" borderId="37" xfId="0" applyFont="1" applyFill="1" applyBorder="1" applyAlignment="1">
      <alignment horizontal="center"/>
    </xf>
    <xf numFmtId="0" fontId="84" fillId="9" borderId="38" xfId="0" applyFont="1" applyFill="1" applyBorder="1" applyAlignment="1">
      <alignment horizontal="center"/>
    </xf>
    <xf numFmtId="0" fontId="82" fillId="10" borderId="0" xfId="1" applyFill="1" applyBorder="1" applyAlignment="1" applyProtection="1">
      <alignment horizontal="center" vertical="center"/>
    </xf>
    <xf numFmtId="0" fontId="82" fillId="10" borderId="0" xfId="1" applyFill="1" applyBorder="1" applyAlignment="1" applyProtection="1">
      <alignment horizontal="center" vertical="center" wrapText="1"/>
    </xf>
    <xf numFmtId="0" fontId="82" fillId="10" borderId="0" xfId="1" applyFill="1" applyBorder="1" applyAlignment="1" applyProtection="1">
      <alignment horizontal="center"/>
    </xf>
    <xf numFmtId="0" fontId="38" fillId="13" borderId="0" xfId="1" applyFont="1" applyFill="1" applyAlignment="1" applyProtection="1">
      <alignment horizontal="center"/>
    </xf>
    <xf numFmtId="0" fontId="3" fillId="13" borderId="37" xfId="0" applyFont="1" applyFill="1" applyBorder="1" applyAlignment="1">
      <alignment horizontal="center"/>
    </xf>
    <xf numFmtId="0" fontId="3" fillId="13" borderId="40" xfId="0" applyFont="1" applyFill="1" applyBorder="1" applyAlignment="1">
      <alignment horizontal="center"/>
    </xf>
    <xf numFmtId="0" fontId="3" fillId="13" borderId="38" xfId="0" applyFont="1" applyFill="1" applyBorder="1" applyAlignment="1">
      <alignment horizontal="center"/>
    </xf>
    <xf numFmtId="0" fontId="3" fillId="13" borderId="18" xfId="0" applyFont="1" applyFill="1" applyBorder="1" applyAlignment="1">
      <alignment horizontal="center"/>
    </xf>
    <xf numFmtId="0" fontId="3" fillId="13" borderId="5" xfId="0" applyFont="1" applyFill="1" applyBorder="1" applyAlignment="1">
      <alignment horizontal="center"/>
    </xf>
    <xf numFmtId="0" fontId="3" fillId="13" borderId="16" xfId="0" applyFont="1" applyFill="1" applyBorder="1" applyAlignment="1">
      <alignment horizontal="center"/>
    </xf>
    <xf numFmtId="0" fontId="39" fillId="5" borderId="37" xfId="0" applyFont="1" applyFill="1" applyBorder="1" applyAlignment="1">
      <alignment horizontal="center" vertical="center"/>
    </xf>
    <xf numFmtId="0" fontId="39" fillId="5" borderId="40" xfId="0" applyFont="1" applyFill="1" applyBorder="1" applyAlignment="1">
      <alignment horizontal="center" vertical="center"/>
    </xf>
    <xf numFmtId="0" fontId="39" fillId="5" borderId="38" xfId="0" applyFont="1" applyFill="1"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6" fillId="0" borderId="7" xfId="0" applyFont="1" applyBorder="1" applyAlignment="1">
      <alignment horizontal="center" vertical="top" wrapText="1"/>
    </xf>
    <xf numFmtId="0" fontId="6" fillId="0" borderId="9" xfId="0" applyFont="1" applyBorder="1" applyAlignment="1">
      <alignment horizontal="center" vertical="top" wrapText="1"/>
    </xf>
    <xf numFmtId="0" fontId="11" fillId="0" borderId="7"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28" fillId="0" borderId="7" xfId="0" applyFont="1" applyBorder="1" applyAlignment="1">
      <alignment horizontal="center" vertical="center" wrapText="1"/>
    </xf>
    <xf numFmtId="0" fontId="28"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0" fillId="0" borderId="9" xfId="0" applyBorder="1" applyAlignment="1">
      <alignment horizontal="center" vertical="center" wrapText="1"/>
    </xf>
    <xf numFmtId="0" fontId="39" fillId="5" borderId="10" xfId="0" applyFont="1" applyFill="1" applyBorder="1" applyAlignment="1">
      <alignment horizontal="center"/>
    </xf>
    <xf numFmtId="0" fontId="39" fillId="5" borderId="19" xfId="0" applyFont="1" applyFill="1" applyBorder="1" applyAlignment="1">
      <alignment horizontal="center"/>
    </xf>
    <xf numFmtId="0" fontId="39" fillId="5" borderId="6" xfId="0" applyFont="1" applyFill="1" applyBorder="1" applyAlignment="1">
      <alignment horizontal="center"/>
    </xf>
    <xf numFmtId="0" fontId="11" fillId="0" borderId="40" xfId="0" applyFont="1" applyBorder="1" applyAlignment="1">
      <alignment horizontal="center"/>
    </xf>
    <xf numFmtId="0" fontId="6" fillId="0" borderId="37" xfId="0" applyFont="1" applyBorder="1" applyAlignment="1">
      <alignment horizontal="center"/>
    </xf>
    <xf numFmtId="0" fontId="6" fillId="0" borderId="40" xfId="0" applyFont="1" applyBorder="1" applyAlignment="1">
      <alignment horizontal="center"/>
    </xf>
    <xf numFmtId="0" fontId="6" fillId="0" borderId="38" xfId="0" applyFont="1" applyBorder="1" applyAlignment="1">
      <alignment horizontal="center"/>
    </xf>
    <xf numFmtId="0" fontId="29" fillId="0" borderId="4" xfId="0" applyFont="1" applyBorder="1" applyAlignment="1" applyProtection="1">
      <alignment horizontal="center" vertical="center" wrapText="1"/>
      <protection locked="0"/>
    </xf>
    <xf numFmtId="0" fontId="3" fillId="5" borderId="4" xfId="0" applyFont="1" applyFill="1" applyBorder="1" applyAlignment="1">
      <alignment horizontal="center" vertical="center" wrapText="1"/>
    </xf>
    <xf numFmtId="0" fontId="28" fillId="12" borderId="4" xfId="0" applyFont="1" applyFill="1" applyBorder="1" applyAlignment="1">
      <alignment horizontal="center" vertical="center" wrapText="1"/>
    </xf>
    <xf numFmtId="0" fontId="36" fillId="12" borderId="4" xfId="0" applyFont="1" applyFill="1" applyBorder="1" applyAlignment="1">
      <alignment horizontal="center" vertical="center" wrapText="1"/>
    </xf>
    <xf numFmtId="0" fontId="62" fillId="12" borderId="4" xfId="0" applyFont="1" applyFill="1" applyBorder="1" applyAlignment="1">
      <alignment horizontal="center" vertical="center" wrapText="1"/>
    </xf>
    <xf numFmtId="0" fontId="22" fillId="12" borderId="4" xfId="0" applyFont="1" applyFill="1" applyBorder="1" applyAlignment="1">
      <alignment horizontal="center" vertical="center" wrapText="1"/>
    </xf>
    <xf numFmtId="0" fontId="11" fillId="0" borderId="4" xfId="0" applyFont="1" applyBorder="1" applyAlignment="1" applyProtection="1">
      <alignment horizontal="center" vertical="center" wrapText="1"/>
      <protection locked="0"/>
    </xf>
    <xf numFmtId="0" fontId="28" fillId="0" borderId="4" xfId="0" applyFont="1" applyBorder="1" applyAlignment="1">
      <alignment horizontal="center" vertical="center" wrapText="1"/>
    </xf>
    <xf numFmtId="0" fontId="63" fillId="0" borderId="4" xfId="0" applyFont="1" applyBorder="1" applyAlignment="1" applyProtection="1">
      <alignment horizontal="center" vertical="center"/>
      <protection locked="0"/>
    </xf>
    <xf numFmtId="0" fontId="64" fillId="0" borderId="4" xfId="0" applyFont="1" applyBorder="1" applyAlignment="1" applyProtection="1">
      <alignment horizontal="center" vertical="center"/>
      <protection locked="0"/>
    </xf>
    <xf numFmtId="174" fontId="3" fillId="0" borderId="4" xfId="0" applyNumberFormat="1" applyFont="1" applyBorder="1" applyAlignment="1" applyProtection="1">
      <alignment horizontal="center" vertical="center"/>
      <protection hidden="1"/>
    </xf>
    <xf numFmtId="0" fontId="64" fillId="0" borderId="4" xfId="0" applyFont="1" applyBorder="1" applyAlignment="1">
      <alignment horizontal="center" vertical="center"/>
    </xf>
    <xf numFmtId="1" fontId="65" fillId="0" borderId="4" xfId="0" applyNumberFormat="1" applyFont="1" applyBorder="1" applyAlignment="1" applyProtection="1">
      <alignment horizontal="center" vertical="center" wrapText="1"/>
      <protection hidden="1"/>
    </xf>
    <xf numFmtId="0" fontId="65" fillId="0" borderId="4" xfId="0" applyFont="1" applyBorder="1" applyAlignment="1" applyProtection="1">
      <alignment horizontal="center" vertical="center" wrapText="1"/>
      <protection hidden="1"/>
    </xf>
    <xf numFmtId="9" fontId="64" fillId="0" borderId="4" xfId="0" applyNumberFormat="1" applyFont="1" applyBorder="1" applyAlignment="1">
      <alignment horizontal="center" vertical="center"/>
    </xf>
    <xf numFmtId="174" fontId="64" fillId="0" borderId="4" xfId="0" applyNumberFormat="1" applyFont="1" applyBorder="1" applyAlignment="1">
      <alignment horizontal="center" vertical="center"/>
    </xf>
    <xf numFmtId="9" fontId="64" fillId="0" borderId="4" xfId="0" applyNumberFormat="1" applyFont="1" applyBorder="1" applyAlignment="1" applyProtection="1">
      <alignment horizontal="center" vertical="center"/>
      <protection hidden="1"/>
    </xf>
    <xf numFmtId="0" fontId="64" fillId="0" borderId="4" xfId="0" applyFont="1" applyBorder="1" applyAlignment="1" applyProtection="1">
      <alignment horizontal="center" vertical="center"/>
      <protection hidden="1"/>
    </xf>
    <xf numFmtId="2" fontId="63" fillId="0" borderId="4" xfId="0" applyNumberFormat="1" applyFont="1" applyBorder="1" applyAlignment="1" applyProtection="1">
      <alignment horizontal="center" vertical="center"/>
      <protection locked="0"/>
    </xf>
    <xf numFmtId="2" fontId="64" fillId="0" borderId="4" xfId="0" applyNumberFormat="1" applyFont="1" applyBorder="1" applyAlignment="1" applyProtection="1">
      <alignment horizontal="center" vertical="center"/>
      <protection locked="0"/>
    </xf>
    <xf numFmtId="174" fontId="64" fillId="0" borderId="4" xfId="0" applyNumberFormat="1" applyFont="1" applyBorder="1" applyAlignment="1" applyProtection="1">
      <alignment horizontal="center" vertical="center"/>
      <protection hidden="1"/>
    </xf>
    <xf numFmtId="0" fontId="29" fillId="0" borderId="7" xfId="0" applyFont="1" applyBorder="1" applyAlignment="1" applyProtection="1">
      <alignment horizontal="center" vertical="center" wrapText="1"/>
      <protection locked="0"/>
    </xf>
    <xf numFmtId="0" fontId="29" fillId="0" borderId="9" xfId="0" applyFont="1" applyBorder="1" applyAlignment="1" applyProtection="1">
      <alignment horizontal="center" vertical="center" wrapText="1"/>
      <protection locked="0"/>
    </xf>
    <xf numFmtId="0" fontId="3" fillId="5" borderId="7"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28" fillId="12" borderId="7" xfId="0" applyFont="1" applyFill="1" applyBorder="1" applyAlignment="1">
      <alignment horizontal="center" vertical="center" wrapText="1"/>
    </xf>
    <xf numFmtId="0" fontId="28" fillId="12" borderId="9" xfId="0" applyFont="1" applyFill="1" applyBorder="1" applyAlignment="1">
      <alignment horizontal="center" vertical="center" wrapText="1"/>
    </xf>
    <xf numFmtId="0" fontId="36" fillId="12" borderId="7" xfId="0" applyFont="1" applyFill="1" applyBorder="1" applyAlignment="1">
      <alignment horizontal="center" vertical="center" wrapText="1"/>
    </xf>
    <xf numFmtId="0" fontId="36" fillId="12" borderId="9" xfId="0" applyFont="1" applyFill="1" applyBorder="1" applyAlignment="1">
      <alignment horizontal="center" vertical="center" wrapText="1"/>
    </xf>
    <xf numFmtId="0" fontId="67" fillId="5" borderId="7" xfId="0" applyFont="1" applyFill="1" applyBorder="1" applyAlignment="1" applyProtection="1">
      <alignment horizontal="center" vertical="center" wrapText="1"/>
      <protection locked="0"/>
    </xf>
    <xf numFmtId="0" fontId="67" fillId="5" borderId="9" xfId="0" applyFont="1" applyFill="1" applyBorder="1" applyAlignment="1" applyProtection="1">
      <alignment horizontal="center" vertical="center" wrapText="1"/>
      <protection locked="0"/>
    </xf>
    <xf numFmtId="2" fontId="64" fillId="0" borderId="7" xfId="0" applyNumberFormat="1" applyFont="1" applyBorder="1" applyAlignment="1" applyProtection="1">
      <alignment horizontal="center" vertical="center"/>
      <protection hidden="1"/>
    </xf>
    <xf numFmtId="0" fontId="64" fillId="0" borderId="9" xfId="0" applyNumberFormat="1" applyFont="1" applyBorder="1" applyAlignment="1" applyProtection="1">
      <alignment horizontal="center" vertical="center"/>
      <protection hidden="1"/>
    </xf>
    <xf numFmtId="2" fontId="63" fillId="0" borderId="7" xfId="0" applyNumberFormat="1" applyFont="1" applyBorder="1" applyAlignment="1" applyProtection="1">
      <alignment horizontal="center" vertical="center"/>
      <protection locked="0"/>
    </xf>
    <xf numFmtId="2" fontId="64" fillId="0" borderId="9" xfId="0" applyNumberFormat="1" applyFont="1" applyBorder="1" applyAlignment="1" applyProtection="1">
      <alignment horizontal="center" vertical="center"/>
      <protection locked="0"/>
    </xf>
    <xf numFmtId="174" fontId="3" fillId="0" borderId="7" xfId="0" applyNumberFormat="1" applyFont="1" applyBorder="1" applyAlignment="1" applyProtection="1">
      <alignment horizontal="center" vertical="center"/>
      <protection hidden="1"/>
    </xf>
    <xf numFmtId="174" fontId="64" fillId="0" borderId="8" xfId="0" applyNumberFormat="1" applyFont="1" applyBorder="1" applyAlignment="1" applyProtection="1">
      <alignment horizontal="center" vertical="center"/>
      <protection hidden="1"/>
    </xf>
    <xf numFmtId="0" fontId="66" fillId="0" borderId="7" xfId="0" applyFont="1" applyBorder="1" applyAlignment="1">
      <alignment horizontal="center" vertical="center"/>
    </xf>
    <xf numFmtId="0" fontId="66" fillId="0" borderId="9" xfId="0" applyFont="1" applyBorder="1" applyAlignment="1">
      <alignment horizontal="center" vertical="center"/>
    </xf>
    <xf numFmtId="174" fontId="64" fillId="0" borderId="44" xfId="0" applyNumberFormat="1" applyFont="1" applyBorder="1" applyAlignment="1">
      <alignment horizontal="center" vertical="center"/>
    </xf>
    <xf numFmtId="1" fontId="65" fillId="0" borderId="7" xfId="0" applyNumberFormat="1" applyFont="1" applyBorder="1" applyAlignment="1" applyProtection="1">
      <alignment horizontal="center" vertical="center" wrapText="1"/>
      <protection hidden="1"/>
    </xf>
    <xf numFmtId="0" fontId="65" fillId="0" borderId="9" xfId="0" applyFont="1" applyBorder="1" applyAlignment="1" applyProtection="1">
      <alignment horizontal="center" vertical="center" wrapText="1"/>
      <protection hidden="1"/>
    </xf>
    <xf numFmtId="0" fontId="3" fillId="5" borderId="37"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16" xfId="0" applyFont="1" applyFill="1" applyBorder="1" applyAlignment="1">
      <alignment horizontal="center" vertical="center" wrapText="1"/>
    </xf>
    <xf numFmtId="9" fontId="64" fillId="0" borderId="7" xfId="0" applyNumberFormat="1" applyFont="1" applyBorder="1" applyAlignment="1" applyProtection="1">
      <alignment horizontal="center" vertical="center"/>
      <protection hidden="1"/>
    </xf>
    <xf numFmtId="0" fontId="64" fillId="0" borderId="9" xfId="0" applyFont="1" applyBorder="1" applyAlignment="1" applyProtection="1">
      <alignment horizontal="center" vertical="center"/>
      <protection hidden="1"/>
    </xf>
    <xf numFmtId="2" fontId="64" fillId="0" borderId="8" xfId="0" applyNumberFormat="1" applyFont="1" applyBorder="1" applyAlignment="1" applyProtection="1">
      <alignment horizontal="center" vertical="center"/>
      <protection locked="0"/>
    </xf>
    <xf numFmtId="0" fontId="11" fillId="5" borderId="7" xfId="0" applyFont="1" applyFill="1" applyBorder="1" applyAlignment="1" applyProtection="1">
      <alignment horizontal="center" vertical="center" wrapText="1"/>
      <protection locked="0"/>
    </xf>
    <xf numFmtId="0" fontId="11" fillId="5" borderId="9" xfId="0" applyFont="1" applyFill="1" applyBorder="1" applyAlignment="1" applyProtection="1">
      <alignment horizontal="center" vertical="center" wrapText="1"/>
      <protection locked="0"/>
    </xf>
    <xf numFmtId="9" fontId="64" fillId="0" borderId="37" xfId="0" applyNumberFormat="1" applyFont="1" applyBorder="1" applyAlignment="1">
      <alignment horizontal="center" vertical="center"/>
    </xf>
    <xf numFmtId="9" fontId="64" fillId="0" borderId="40" xfId="0" applyNumberFormat="1" applyFont="1" applyBorder="1" applyAlignment="1">
      <alignment horizontal="center" vertical="center"/>
    </xf>
    <xf numFmtId="9" fontId="64" fillId="0" borderId="38" xfId="0" applyNumberFormat="1" applyFont="1" applyBorder="1" applyAlignment="1">
      <alignment horizontal="center" vertical="center"/>
    </xf>
    <xf numFmtId="9" fontId="64" fillId="0" borderId="18" xfId="0" applyNumberFormat="1" applyFont="1" applyBorder="1" applyAlignment="1">
      <alignment horizontal="center" vertical="center"/>
    </xf>
    <xf numFmtId="9" fontId="64" fillId="0" borderId="5" xfId="0" applyNumberFormat="1" applyFont="1" applyBorder="1" applyAlignment="1">
      <alignment horizontal="center" vertical="center"/>
    </xf>
    <xf numFmtId="9" fontId="64" fillId="0" borderId="16" xfId="0" applyNumberFormat="1" applyFont="1" applyBorder="1" applyAlignment="1">
      <alignment horizontal="center" vertical="center"/>
    </xf>
    <xf numFmtId="0" fontId="7" fillId="3" borderId="43" xfId="0" applyFont="1" applyFill="1" applyBorder="1" applyAlignment="1">
      <alignment horizontal="center"/>
    </xf>
    <xf numFmtId="0" fontId="7" fillId="3" borderId="6" xfId="0" applyFont="1" applyFill="1" applyBorder="1" applyAlignment="1">
      <alignment horizontal="center"/>
    </xf>
    <xf numFmtId="0" fontId="0" fillId="0" borderId="29" xfId="0" applyBorder="1" applyAlignment="1">
      <alignment horizontal="right"/>
    </xf>
    <xf numFmtId="0" fontId="0" fillId="0" borderId="30" xfId="0" applyBorder="1" applyAlignment="1">
      <alignment horizontal="right"/>
    </xf>
    <xf numFmtId="0" fontId="6" fillId="2" borderId="10" xfId="0" applyFont="1" applyFill="1" applyBorder="1" applyAlignment="1">
      <alignment horizontal="center" vertical="center" wrapText="1"/>
    </xf>
    <xf numFmtId="0" fontId="28" fillId="0" borderId="6" xfId="0" applyFont="1" applyBorder="1" applyAlignment="1">
      <alignment horizontal="center" vertical="center" wrapText="1"/>
    </xf>
    <xf numFmtId="0" fontId="18" fillId="0" borderId="18" xfId="0" applyFont="1" applyBorder="1" applyAlignment="1" applyProtection="1">
      <alignment horizontal="center"/>
      <protection hidden="1"/>
    </xf>
    <xf numFmtId="0" fontId="18" fillId="0" borderId="16" xfId="0" applyFont="1" applyBorder="1" applyAlignment="1" applyProtection="1">
      <alignment horizontal="center"/>
      <protection hidden="1"/>
    </xf>
    <xf numFmtId="183" fontId="7" fillId="0" borderId="10" xfId="0" applyNumberFormat="1" applyFont="1" applyBorder="1" applyAlignment="1" applyProtection="1">
      <alignment horizontal="center"/>
      <protection hidden="1"/>
    </xf>
    <xf numFmtId="183" fontId="7" fillId="0" borderId="6" xfId="0" applyNumberFormat="1" applyFont="1" applyBorder="1" applyAlignment="1" applyProtection="1">
      <alignment horizontal="center"/>
      <protection hidden="1"/>
    </xf>
    <xf numFmtId="183" fontId="59" fillId="0" borderId="10" xfId="0" applyNumberFormat="1" applyFont="1" applyBorder="1" applyAlignment="1" applyProtection="1">
      <alignment horizontal="center"/>
      <protection hidden="1"/>
    </xf>
    <xf numFmtId="183" fontId="59" fillId="0" borderId="6" xfId="0" applyNumberFormat="1" applyFont="1" applyBorder="1" applyAlignment="1" applyProtection="1">
      <alignment horizontal="center"/>
      <protection hidden="1"/>
    </xf>
    <xf numFmtId="0" fontId="28" fillId="12" borderId="4" xfId="0" applyFont="1" applyFill="1" applyBorder="1" applyAlignment="1" applyProtection="1">
      <alignment horizontal="center" vertical="center" wrapText="1"/>
      <protection hidden="1"/>
    </xf>
    <xf numFmtId="0" fontId="36" fillId="12" borderId="4" xfId="0" applyFont="1" applyFill="1" applyBorder="1" applyAlignment="1" applyProtection="1">
      <alignment horizontal="center" vertical="center" wrapText="1"/>
      <protection hidden="1"/>
    </xf>
    <xf numFmtId="0" fontId="11" fillId="5" borderId="7" xfId="0" applyFont="1" applyFill="1" applyBorder="1" applyAlignment="1" applyProtection="1">
      <alignment horizontal="center" vertical="center" wrapText="1"/>
      <protection locked="0" hidden="1"/>
    </xf>
    <xf numFmtId="0" fontId="11" fillId="5" borderId="8" xfId="0" applyFont="1" applyFill="1" applyBorder="1" applyAlignment="1" applyProtection="1">
      <alignment horizontal="center" vertical="center" wrapText="1"/>
      <protection locked="0" hidden="1"/>
    </xf>
    <xf numFmtId="0" fontId="0" fillId="0" borderId="8" xfId="0" applyBorder="1" applyAlignment="1"/>
    <xf numFmtId="0" fontId="0" fillId="0" borderId="9" xfId="0" applyBorder="1" applyAlignment="1"/>
    <xf numFmtId="0" fontId="28" fillId="0" borderId="7" xfId="0" applyFont="1" applyBorder="1" applyAlignment="1" applyProtection="1">
      <alignment horizontal="center" vertical="center" wrapText="1"/>
      <protection hidden="1"/>
    </xf>
    <xf numFmtId="0" fontId="28" fillId="0" borderId="8" xfId="0" applyFont="1" applyBorder="1" applyAlignment="1" applyProtection="1">
      <alignment horizontal="center" vertical="center" wrapText="1"/>
      <protection hidden="1"/>
    </xf>
    <xf numFmtId="0" fontId="0" fillId="0" borderId="9" xfId="0" applyBorder="1"/>
    <xf numFmtId="173" fontId="3" fillId="0" borderId="7" xfId="0" applyNumberFormat="1" applyFont="1" applyBorder="1" applyAlignment="1" applyProtection="1">
      <alignment horizontal="center" vertical="center"/>
      <protection hidden="1"/>
    </xf>
    <xf numFmtId="0" fontId="0" fillId="0" borderId="9" xfId="0" applyBorder="1" applyProtection="1">
      <protection hidden="1"/>
    </xf>
    <xf numFmtId="0" fontId="54" fillId="0" borderId="4" xfId="0" applyFont="1" applyBorder="1" applyProtection="1">
      <protection hidden="1"/>
    </xf>
    <xf numFmtId="0" fontId="29" fillId="0" borderId="7" xfId="0" applyFont="1" applyBorder="1" applyAlignment="1" applyProtection="1">
      <alignment horizontal="center" vertical="center" wrapText="1"/>
      <protection hidden="1"/>
    </xf>
    <xf numFmtId="0" fontId="29" fillId="0" borderId="9" xfId="0" applyFont="1" applyBorder="1" applyAlignment="1" applyProtection="1">
      <alignment horizontal="center" vertical="center" wrapText="1"/>
      <protection hidden="1"/>
    </xf>
    <xf numFmtId="0" fontId="3" fillId="5" borderId="7" xfId="0" applyFont="1" applyFill="1" applyBorder="1" applyAlignment="1" applyProtection="1">
      <alignment horizontal="center" vertical="center" wrapText="1"/>
      <protection hidden="1"/>
    </xf>
    <xf numFmtId="0" fontId="3" fillId="5" borderId="9" xfId="0" applyFont="1" applyFill="1" applyBorder="1" applyAlignment="1" applyProtection="1">
      <alignment horizontal="center" vertical="center" wrapText="1"/>
      <protection hidden="1"/>
    </xf>
    <xf numFmtId="0" fontId="62" fillId="12" borderId="7" xfId="0" applyFont="1" applyFill="1" applyBorder="1" applyAlignment="1" applyProtection="1">
      <alignment horizontal="center" vertical="center" wrapText="1"/>
      <protection hidden="1"/>
    </xf>
    <xf numFmtId="0" fontId="62" fillId="12" borderId="9" xfId="0" applyFont="1" applyFill="1" applyBorder="1" applyAlignment="1" applyProtection="1">
      <alignment horizontal="center" vertical="center" wrapText="1"/>
      <protection hidden="1"/>
    </xf>
    <xf numFmtId="0" fontId="22" fillId="12" borderId="7" xfId="0" applyFont="1" applyFill="1" applyBorder="1" applyAlignment="1" applyProtection="1">
      <alignment horizontal="center" vertical="center" wrapText="1"/>
      <protection hidden="1"/>
    </xf>
    <xf numFmtId="0" fontId="22" fillId="12" borderId="9" xfId="0" applyFont="1" applyFill="1" applyBorder="1" applyAlignment="1" applyProtection="1">
      <alignment horizontal="center" vertical="center" wrapText="1"/>
      <protection hidden="1"/>
    </xf>
    <xf numFmtId="0" fontId="36" fillId="12" borderId="7" xfId="0" applyFont="1" applyFill="1" applyBorder="1" applyAlignment="1" applyProtection="1">
      <alignment horizontal="center" vertical="center" wrapText="1"/>
      <protection hidden="1"/>
    </xf>
    <xf numFmtId="0" fontId="36" fillId="12" borderId="9" xfId="0" applyFont="1" applyFill="1" applyBorder="1" applyAlignment="1" applyProtection="1">
      <alignment horizontal="center" vertical="center" wrapText="1"/>
      <protection hidden="1"/>
    </xf>
    <xf numFmtId="0" fontId="11" fillId="0" borderId="7" xfId="0" applyFont="1" applyBorder="1" applyAlignment="1" applyProtection="1">
      <alignment horizontal="center" vertical="center" wrapText="1"/>
      <protection hidden="1"/>
    </xf>
    <xf numFmtId="0" fontId="11" fillId="0" borderId="9" xfId="0" applyFont="1" applyBorder="1" applyAlignment="1" applyProtection="1">
      <alignment horizontal="center" vertical="center" wrapText="1"/>
      <protection hidden="1"/>
    </xf>
    <xf numFmtId="0" fontId="28" fillId="0" borderId="9" xfId="0" applyFont="1" applyBorder="1" applyAlignment="1" applyProtection="1">
      <alignment horizontal="center" vertical="center" wrapText="1"/>
      <protection hidden="1"/>
    </xf>
    <xf numFmtId="9" fontId="64" fillId="0" borderId="9" xfId="0" applyNumberFormat="1" applyFont="1" applyBorder="1" applyAlignment="1" applyProtection="1">
      <alignment horizontal="center" vertical="center"/>
      <protection hidden="1"/>
    </xf>
    <xf numFmtId="181" fontId="3" fillId="0" borderId="7" xfId="0" applyNumberFormat="1" applyFont="1" applyBorder="1" applyAlignment="1" applyProtection="1">
      <alignment horizontal="center" vertical="center"/>
      <protection hidden="1"/>
    </xf>
    <xf numFmtId="181" fontId="64" fillId="0" borderId="9" xfId="0" applyNumberFormat="1" applyFont="1" applyBorder="1" applyAlignment="1" applyProtection="1">
      <alignment horizontal="center" vertical="center"/>
      <protection hidden="1"/>
    </xf>
    <xf numFmtId="1" fontId="64" fillId="0" borderId="7" xfId="0" applyNumberFormat="1" applyFont="1" applyBorder="1" applyAlignment="1" applyProtection="1">
      <alignment horizontal="center" vertical="center"/>
      <protection hidden="1"/>
    </xf>
    <xf numFmtId="175" fontId="3" fillId="0" borderId="4" xfId="0" applyNumberFormat="1" applyFont="1" applyBorder="1" applyAlignment="1" applyProtection="1">
      <alignment horizontal="center" vertical="center"/>
      <protection hidden="1"/>
    </xf>
    <xf numFmtId="175" fontId="64" fillId="0" borderId="4" xfId="0" applyNumberFormat="1" applyFont="1" applyBorder="1" applyAlignment="1" applyProtection="1">
      <alignment horizontal="center" vertical="center"/>
      <protection hidden="1"/>
    </xf>
    <xf numFmtId="0" fontId="28" fillId="12" borderId="10" xfId="0" applyFont="1" applyFill="1" applyBorder="1" applyAlignment="1">
      <alignment horizontal="center" vertical="center" wrapText="1"/>
    </xf>
    <xf numFmtId="174" fontId="3" fillId="0" borderId="10" xfId="0" applyNumberFormat="1" applyFont="1" applyBorder="1" applyAlignment="1" applyProtection="1">
      <alignment horizontal="center" vertical="center"/>
      <protection hidden="1"/>
    </xf>
    <xf numFmtId="0" fontId="64" fillId="0" borderId="10" xfId="0" applyFont="1" applyBorder="1" applyAlignment="1" applyProtection="1">
      <alignment horizontal="center" vertical="center"/>
      <protection hidden="1"/>
    </xf>
    <xf numFmtId="0" fontId="22" fillId="12" borderId="4" xfId="0" applyFont="1" applyFill="1" applyBorder="1" applyAlignment="1" applyProtection="1">
      <alignment horizontal="center" vertical="center" wrapText="1"/>
      <protection hidden="1"/>
    </xf>
    <xf numFmtId="0" fontId="66" fillId="0" borderId="4" xfId="0" applyFont="1" applyBorder="1" applyAlignment="1">
      <alignment horizontal="center" vertical="center"/>
    </xf>
    <xf numFmtId="0" fontId="28" fillId="0" borderId="0" xfId="0" applyFont="1" applyFill="1" applyBorder="1" applyAlignment="1">
      <alignment horizontal="center" vertical="center" wrapText="1"/>
    </xf>
    <xf numFmtId="174" fontId="64" fillId="0" borderId="44" xfId="0" applyNumberFormat="1" applyFont="1" applyBorder="1" applyAlignment="1" applyProtection="1">
      <alignment horizontal="center" vertical="center"/>
      <protection hidden="1"/>
    </xf>
    <xf numFmtId="0" fontId="28" fillId="12" borderId="7" xfId="0" applyFont="1" applyFill="1" applyBorder="1" applyAlignment="1" applyProtection="1">
      <alignment horizontal="center" vertical="center" wrapText="1"/>
      <protection hidden="1"/>
    </xf>
    <xf numFmtId="0" fontId="28" fillId="12" borderId="9" xfId="0" applyFont="1" applyFill="1" applyBorder="1" applyAlignment="1" applyProtection="1">
      <alignment horizontal="center" vertical="center" wrapText="1"/>
      <protection hidden="1"/>
    </xf>
    <xf numFmtId="0" fontId="62" fillId="12" borderId="7" xfId="0" applyFont="1" applyFill="1" applyBorder="1" applyAlignment="1">
      <alignment horizontal="center" vertical="center" wrapText="1"/>
    </xf>
    <xf numFmtId="0" fontId="62" fillId="12" borderId="9" xfId="0" applyFont="1" applyFill="1" applyBorder="1" applyAlignment="1">
      <alignment horizontal="center" vertical="center" wrapText="1"/>
    </xf>
    <xf numFmtId="9" fontId="64" fillId="0" borderId="7" xfId="0" applyNumberFormat="1" applyFont="1" applyBorder="1" applyAlignment="1">
      <alignment horizontal="center" vertical="center"/>
    </xf>
    <xf numFmtId="9" fontId="64" fillId="0" borderId="9" xfId="0" applyNumberFormat="1" applyFont="1" applyBorder="1" applyAlignment="1">
      <alignment horizontal="center" vertical="center"/>
    </xf>
    <xf numFmtId="0" fontId="29" fillId="0" borderId="44" xfId="0" applyFont="1" applyBorder="1" applyAlignment="1" applyProtection="1">
      <alignment horizontal="center" vertical="center" wrapText="1"/>
      <protection locked="0"/>
    </xf>
    <xf numFmtId="0" fontId="3" fillId="5" borderId="44" xfId="0" applyFont="1" applyFill="1" applyBorder="1" applyAlignment="1">
      <alignment horizontal="center" vertical="center" wrapText="1"/>
    </xf>
    <xf numFmtId="1" fontId="3" fillId="0" borderId="4" xfId="0" applyNumberFormat="1"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11" fillId="5" borderId="9" xfId="0" applyFont="1" applyFill="1" applyBorder="1" applyAlignment="1" applyProtection="1">
      <alignment horizontal="center" vertical="center" wrapText="1"/>
      <protection locked="0" hidden="1"/>
    </xf>
    <xf numFmtId="0" fontId="66" fillId="0" borderId="8" xfId="0" applyFont="1" applyBorder="1" applyAlignment="1">
      <alignment horizontal="center" vertical="center"/>
    </xf>
    <xf numFmtId="181" fontId="64" fillId="0" borderId="44" xfId="0" applyNumberFormat="1" applyFont="1" applyBorder="1" applyAlignment="1" applyProtection="1">
      <alignment horizontal="center" vertical="center"/>
      <protection hidden="1"/>
    </xf>
    <xf numFmtId="1" fontId="34" fillId="0" borderId="7" xfId="0" applyNumberFormat="1" applyFont="1" applyBorder="1" applyAlignment="1" applyProtection="1">
      <alignment horizontal="center" vertical="center" wrapText="1"/>
      <protection hidden="1"/>
    </xf>
    <xf numFmtId="0" fontId="34" fillId="0" borderId="9" xfId="0" applyFont="1" applyBorder="1" applyAlignment="1" applyProtection="1">
      <alignment horizontal="center" vertical="center" wrapText="1"/>
      <protection hidden="1"/>
    </xf>
    <xf numFmtId="175" fontId="3" fillId="0" borderId="7" xfId="0" applyNumberFormat="1" applyFont="1" applyBorder="1" applyAlignment="1" applyProtection="1">
      <alignment horizontal="center" vertical="center"/>
      <protection hidden="1"/>
    </xf>
    <xf numFmtId="175" fontId="64" fillId="0" borderId="44" xfId="0" applyNumberFormat="1" applyFont="1" applyBorder="1" applyAlignment="1" applyProtection="1">
      <alignment horizontal="center" vertical="center"/>
      <protection hidden="1"/>
    </xf>
    <xf numFmtId="1" fontId="74" fillId="0" borderId="7" xfId="0" applyNumberFormat="1" applyFont="1" applyBorder="1" applyAlignment="1" applyProtection="1">
      <alignment horizontal="center" vertical="center" wrapText="1"/>
      <protection hidden="1"/>
    </xf>
    <xf numFmtId="0" fontId="74" fillId="0" borderId="9" xfId="0" applyFont="1" applyBorder="1" applyAlignment="1" applyProtection="1">
      <alignment horizontal="center" vertical="center" wrapText="1"/>
      <protection hidden="1"/>
    </xf>
    <xf numFmtId="0" fontId="0" fillId="0" borderId="19" xfId="0" applyBorder="1" applyAlignment="1">
      <alignment horizontal="center"/>
    </xf>
    <xf numFmtId="0" fontId="18" fillId="0" borderId="10" xfId="0" applyFont="1" applyBorder="1" applyAlignment="1" applyProtection="1">
      <alignment horizontal="center"/>
      <protection hidden="1"/>
    </xf>
    <xf numFmtId="0" fontId="18" fillId="0" borderId="6" xfId="0" applyFont="1" applyBorder="1" applyAlignment="1" applyProtection="1">
      <alignment horizontal="center"/>
      <protection hidden="1"/>
    </xf>
    <xf numFmtId="0" fontId="6" fillId="2" borderId="6" xfId="0" applyFont="1" applyFill="1" applyBorder="1" applyAlignment="1">
      <alignment horizontal="center" vertical="center" wrapText="1"/>
    </xf>
    <xf numFmtId="0" fontId="0" fillId="0" borderId="0" xfId="0" applyFill="1" applyBorder="1"/>
    <xf numFmtId="1" fontId="3" fillId="0" borderId="0" xfId="0" applyNumberFormat="1" applyFont="1" applyFill="1" applyBorder="1" applyAlignment="1" applyProtection="1">
      <alignment horizontal="center" vertical="center"/>
      <protection hidden="1"/>
    </xf>
    <xf numFmtId="0" fontId="11" fillId="5" borderId="7" xfId="0" applyFont="1" applyFill="1" applyBorder="1" applyAlignment="1" applyProtection="1">
      <alignment horizontal="center" vertical="center" wrapText="1"/>
      <protection hidden="1"/>
    </xf>
    <xf numFmtId="0" fontId="11" fillId="5" borderId="9" xfId="0" applyFont="1" applyFill="1" applyBorder="1" applyAlignment="1" applyProtection="1">
      <alignment horizontal="center" vertical="center" wrapText="1"/>
      <protection hidden="1"/>
    </xf>
    <xf numFmtId="0" fontId="66" fillId="0" borderId="7" xfId="0" applyFont="1" applyBorder="1" applyAlignment="1" applyProtection="1">
      <alignment horizontal="center" vertical="center"/>
      <protection hidden="1"/>
    </xf>
    <xf numFmtId="0" fontId="66" fillId="0" borderId="8" xfId="0" applyFont="1" applyBorder="1" applyAlignment="1" applyProtection="1">
      <alignment horizontal="center" vertical="center"/>
      <protection hidden="1"/>
    </xf>
    <xf numFmtId="0" fontId="28" fillId="0" borderId="4" xfId="0" applyFont="1" applyBorder="1" applyAlignment="1" applyProtection="1">
      <alignment horizontal="center" vertical="center" wrapText="1"/>
      <protection hidden="1"/>
    </xf>
    <xf numFmtId="0" fontId="3" fillId="5" borderId="4" xfId="0" applyFont="1" applyFill="1" applyBorder="1" applyAlignment="1" applyProtection="1">
      <alignment horizontal="center" vertical="center" wrapText="1"/>
      <protection hidden="1"/>
    </xf>
    <xf numFmtId="0" fontId="66" fillId="0" borderId="4" xfId="0" applyFont="1" applyBorder="1" applyAlignment="1" applyProtection="1">
      <alignment horizontal="center" vertical="center"/>
      <protection hidden="1"/>
    </xf>
    <xf numFmtId="0" fontId="11" fillId="0" borderId="4" xfId="0" applyFont="1" applyBorder="1" applyAlignment="1" applyProtection="1">
      <alignment horizontal="center" vertical="center" wrapText="1"/>
      <protection hidden="1"/>
    </xf>
    <xf numFmtId="0" fontId="16" fillId="0" borderId="0" xfId="0" applyFont="1" applyFill="1" applyBorder="1" applyAlignment="1">
      <alignment horizontal="center"/>
    </xf>
    <xf numFmtId="0" fontId="37" fillId="13" borderId="0" xfId="1" applyFont="1" applyFill="1" applyAlignment="1" applyProtection="1">
      <alignment horizontal="center"/>
    </xf>
    <xf numFmtId="0" fontId="20" fillId="16" borderId="0" xfId="0" applyFont="1" applyFill="1" applyAlignment="1">
      <alignment horizontal="center" wrapText="1"/>
    </xf>
    <xf numFmtId="0" fontId="6" fillId="5" borderId="4" xfId="0" applyFont="1" applyFill="1" applyBorder="1" applyAlignment="1">
      <alignment horizontal="center" vertical="center" wrapText="1"/>
    </xf>
    <xf numFmtId="0" fontId="39" fillId="5"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81" fillId="16" borderId="7" xfId="0" applyFont="1" applyFill="1" applyBorder="1" applyAlignment="1">
      <alignment horizontal="center" wrapText="1"/>
    </xf>
    <xf numFmtId="0" fontId="0" fillId="0" borderId="9" xfId="0" applyBorder="1" applyAlignment="1">
      <alignment horizontal="center" wrapText="1"/>
    </xf>
    <xf numFmtId="0" fontId="6" fillId="3" borderId="10" xfId="0" applyFont="1" applyFill="1" applyBorder="1" applyAlignment="1" applyProtection="1">
      <alignment horizontal="center"/>
      <protection hidden="1"/>
    </xf>
    <xf numFmtId="0" fontId="6" fillId="3" borderId="19" xfId="0" applyFont="1" applyFill="1" applyBorder="1" applyAlignment="1" applyProtection="1">
      <alignment horizontal="center"/>
      <protection hidden="1"/>
    </xf>
    <xf numFmtId="0" fontId="6" fillId="3" borderId="6" xfId="0" applyFont="1" applyFill="1" applyBorder="1" applyAlignment="1" applyProtection="1">
      <alignment horizontal="center"/>
      <protection hidden="1"/>
    </xf>
    <xf numFmtId="0" fontId="82" fillId="5" borderId="0" xfId="1" applyFill="1" applyAlignment="1" applyProtection="1">
      <alignment horizontal="center"/>
    </xf>
    <xf numFmtId="0" fontId="39" fillId="0" borderId="0" xfId="0" applyFont="1" applyAlignment="1">
      <alignment horizontal="center"/>
    </xf>
    <xf numFmtId="0" fontId="49" fillId="5" borderId="1" xfId="0" applyFont="1" applyFill="1" applyBorder="1" applyAlignment="1">
      <alignment horizontal="center"/>
    </xf>
    <xf numFmtId="0" fontId="49" fillId="5" borderId="2" xfId="0" applyFont="1" applyFill="1" applyBorder="1" applyAlignment="1">
      <alignment horizontal="center"/>
    </xf>
    <xf numFmtId="0" fontId="49" fillId="5" borderId="3" xfId="0" applyFont="1" applyFill="1" applyBorder="1" applyAlignment="1">
      <alignment horizontal="center"/>
    </xf>
    <xf numFmtId="0" fontId="29" fillId="9" borderId="12" xfId="0" applyFont="1" applyFill="1" applyBorder="1" applyAlignment="1">
      <alignment horizontal="center"/>
    </xf>
    <xf numFmtId="0" fontId="29" fillId="9" borderId="0" xfId="0" applyFont="1" applyFill="1" applyBorder="1" applyAlignment="1">
      <alignment horizontal="center"/>
    </xf>
    <xf numFmtId="0" fontId="29" fillId="9" borderId="12" xfId="0" applyFont="1" applyFill="1" applyBorder="1" applyAlignment="1">
      <alignment horizontal="right"/>
    </xf>
    <xf numFmtId="0" fontId="29" fillId="9" borderId="0" xfId="0" applyFont="1" applyFill="1" applyBorder="1" applyAlignment="1">
      <alignment horizontal="right"/>
    </xf>
    <xf numFmtId="0" fontId="29" fillId="9" borderId="32" xfId="0" applyFont="1" applyFill="1" applyBorder="1" applyAlignment="1">
      <alignment horizontal="right"/>
    </xf>
    <xf numFmtId="0" fontId="85" fillId="9" borderId="37" xfId="0" applyFont="1" applyFill="1" applyBorder="1" applyAlignment="1">
      <alignment horizontal="center"/>
    </xf>
    <xf numFmtId="0" fontId="85" fillId="9" borderId="40" xfId="0" applyFont="1" applyFill="1" applyBorder="1" applyAlignment="1">
      <alignment horizontal="center"/>
    </xf>
    <xf numFmtId="0" fontId="85" fillId="9" borderId="38" xfId="0" applyFont="1" applyFill="1"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89" fillId="0" borderId="0" xfId="0" applyFont="1" applyAlignment="1">
      <alignment horizontal="center"/>
    </xf>
  </cellXfs>
  <cellStyles count="3">
    <cellStyle name="Lien hypertexte" xfId="1" builtinId="8"/>
    <cellStyle name="Normal" xfId="0" builtinId="0"/>
    <cellStyle name="Pourcentag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2875" b="1" i="0" u="none" strike="noStrike" baseline="0">
                <a:solidFill>
                  <a:srgbClr val="FF0000"/>
                </a:solidFill>
                <a:latin typeface="Times New Roman"/>
                <a:ea typeface="Times New Roman"/>
                <a:cs typeface="Times New Roman"/>
              </a:defRPr>
            </a:pPr>
            <a:r>
              <a:rPr lang="fr-FR"/>
              <a:t>Test de VAM</a:t>
            </a:r>
          </a:p>
        </c:rich>
      </c:tx>
      <c:layout>
        <c:manualLayout>
          <c:xMode val="edge"/>
          <c:yMode val="edge"/>
          <c:x val="0.37028571428571427"/>
          <c:y val="2.7656516751553333E-2"/>
        </c:manualLayout>
      </c:layout>
      <c:spPr>
        <a:solidFill>
          <a:srgbClr val="FFFF00"/>
        </a:solidFill>
        <a:ln w="25400">
          <a:noFill/>
        </a:ln>
      </c:spPr>
    </c:title>
    <c:plotArea>
      <c:layout>
        <c:manualLayout>
          <c:layoutTarget val="inner"/>
          <c:xMode val="edge"/>
          <c:yMode val="edge"/>
          <c:x val="0.12342857142857143"/>
          <c:y val="0.17612834352305018"/>
          <c:w val="0.87085714285714289"/>
          <c:h val="0.68413488806474032"/>
        </c:manualLayout>
      </c:layout>
      <c:lineChart>
        <c:grouping val="standard"/>
        <c:ser>
          <c:idx val="0"/>
          <c:order val="0"/>
          <c:tx>
            <c:strRef>
              <c:f>données!$B$3</c:f>
              <c:strCache>
                <c:ptCount val="1"/>
                <c:pt idx="0">
                  <c:v>vitesse km/h</c:v>
                </c:pt>
              </c:strCache>
            </c:strRef>
          </c:tx>
          <c:spPr>
            <a:ln w="12700">
              <a:solidFill>
                <a:srgbClr val="000080"/>
              </a:solidFill>
              <a:prstDash val="solid"/>
            </a:ln>
          </c:spPr>
          <c:marker>
            <c:symbol val="star"/>
            <c:size val="5"/>
            <c:spPr>
              <a:noFill/>
              <a:ln>
                <a:solidFill>
                  <a:srgbClr val="FF0000"/>
                </a:solidFill>
                <a:prstDash val="solid"/>
              </a:ln>
            </c:spPr>
          </c:marker>
          <c:dLbls>
            <c:spPr>
              <a:noFill/>
              <a:ln w="25400">
                <a:noFill/>
              </a:ln>
            </c:spPr>
            <c:txPr>
              <a:bodyPr/>
              <a:lstStyle/>
              <a:p>
                <a:pPr>
                  <a:defRPr sz="800" b="0" i="1" u="none" strike="noStrike" baseline="0">
                    <a:solidFill>
                      <a:srgbClr val="FF0000"/>
                    </a:solidFill>
                    <a:latin typeface="Times New Roman"/>
                    <a:ea typeface="Times New Roman"/>
                    <a:cs typeface="Times New Roman"/>
                  </a:defRPr>
                </a:pPr>
                <a:endParaRPr lang="fr-FR"/>
              </a:p>
            </c:txPr>
            <c:showVal val="1"/>
          </c:dLbls>
          <c:cat>
            <c:numRef>
              <c:f>données!$B$7:$B$40</c:f>
              <c:numCache>
                <c:formatCode>General</c:formatCode>
                <c:ptCount val="34"/>
                <c:pt idx="0">
                  <c:v>9</c:v>
                </c:pt>
                <c:pt idx="1">
                  <c:v>9.5</c:v>
                </c:pt>
                <c:pt idx="2">
                  <c:v>10</c:v>
                </c:pt>
                <c:pt idx="3">
                  <c:v>10.5</c:v>
                </c:pt>
                <c:pt idx="4">
                  <c:v>11</c:v>
                </c:pt>
                <c:pt idx="5">
                  <c:v>11.5</c:v>
                </c:pt>
                <c:pt idx="6">
                  <c:v>12</c:v>
                </c:pt>
                <c:pt idx="7">
                  <c:v>12.5</c:v>
                </c:pt>
                <c:pt idx="8">
                  <c:v>13</c:v>
                </c:pt>
                <c:pt idx="9">
                  <c:v>13.5</c:v>
                </c:pt>
                <c:pt idx="10">
                  <c:v>14</c:v>
                </c:pt>
                <c:pt idx="11">
                  <c:v>14.5</c:v>
                </c:pt>
                <c:pt idx="12">
                  <c:v>15</c:v>
                </c:pt>
                <c:pt idx="13">
                  <c:v>15.5</c:v>
                </c:pt>
                <c:pt idx="14">
                  <c:v>16</c:v>
                </c:pt>
                <c:pt idx="15">
                  <c:v>16.5</c:v>
                </c:pt>
                <c:pt idx="16">
                  <c:v>17</c:v>
                </c:pt>
                <c:pt idx="17">
                  <c:v>17.5</c:v>
                </c:pt>
                <c:pt idx="18">
                  <c:v>18</c:v>
                </c:pt>
                <c:pt idx="19">
                  <c:v>18.5</c:v>
                </c:pt>
                <c:pt idx="20">
                  <c:v>19</c:v>
                </c:pt>
                <c:pt idx="21">
                  <c:v>19.5</c:v>
                </c:pt>
                <c:pt idx="22">
                  <c:v>20</c:v>
                </c:pt>
                <c:pt idx="23">
                  <c:v>20.5</c:v>
                </c:pt>
                <c:pt idx="24">
                  <c:v>21</c:v>
                </c:pt>
                <c:pt idx="25">
                  <c:v>21.5</c:v>
                </c:pt>
                <c:pt idx="26">
                  <c:v>22</c:v>
                </c:pt>
                <c:pt idx="27">
                  <c:v>22.5</c:v>
                </c:pt>
                <c:pt idx="28">
                  <c:v>23</c:v>
                </c:pt>
                <c:pt idx="29">
                  <c:v>23.5</c:v>
                </c:pt>
                <c:pt idx="30">
                  <c:v>24</c:v>
                </c:pt>
                <c:pt idx="31">
                  <c:v>24.5</c:v>
                </c:pt>
                <c:pt idx="32">
                  <c:v>25</c:v>
                </c:pt>
                <c:pt idx="33">
                  <c:v>25.5</c:v>
                </c:pt>
              </c:numCache>
            </c:numRef>
          </c:cat>
          <c:val>
            <c:numRef>
              <c:f>données!$C$6:$C$39</c:f>
              <c:numCache>
                <c:formatCode>General</c:formatCode>
                <c:ptCount val="34"/>
                <c:pt idx="0">
                  <c:v>120</c:v>
                </c:pt>
                <c:pt idx="1">
                  <c:v>126</c:v>
                </c:pt>
                <c:pt idx="2">
                  <c:v>135</c:v>
                </c:pt>
                <c:pt idx="3">
                  <c:v>144</c:v>
                </c:pt>
                <c:pt idx="4">
                  <c:v>148</c:v>
                </c:pt>
                <c:pt idx="5">
                  <c:v>150</c:v>
                </c:pt>
                <c:pt idx="6">
                  <c:v>154</c:v>
                </c:pt>
                <c:pt idx="7">
                  <c:v>158</c:v>
                </c:pt>
                <c:pt idx="8">
                  <c:v>161</c:v>
                </c:pt>
                <c:pt idx="9">
                  <c:v>165</c:v>
                </c:pt>
                <c:pt idx="10">
                  <c:v>169</c:v>
                </c:pt>
                <c:pt idx="11">
                  <c:v>171</c:v>
                </c:pt>
                <c:pt idx="12">
                  <c:v>175</c:v>
                </c:pt>
                <c:pt idx="13">
                  <c:v>176</c:v>
                </c:pt>
                <c:pt idx="14">
                  <c:v>176</c:v>
                </c:pt>
                <c:pt idx="15">
                  <c:v>180</c:v>
                </c:pt>
                <c:pt idx="16">
                  <c:v>183</c:v>
                </c:pt>
                <c:pt idx="17">
                  <c:v>185</c:v>
                </c:pt>
                <c:pt idx="18">
                  <c:v>187</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ser>
          <c:idx val="2"/>
          <c:order val="1"/>
          <c:spPr>
            <a:ln w="12700">
              <a:solidFill>
                <a:srgbClr val="FFFF00"/>
              </a:solidFill>
              <a:prstDash val="solid"/>
            </a:ln>
          </c:spPr>
          <c:marker>
            <c:symbol val="none"/>
          </c:marker>
          <c:dLbls>
            <c:dLbl>
              <c:idx val="0"/>
              <c:layout>
                <c:manualLayout>
                  <c:x val="3.6478200224971877E-2"/>
                  <c:y val="-0.22529435858076771"/>
                </c:manualLayout>
              </c:layout>
              <c:dLblPos val="r"/>
              <c:showVal val="1"/>
            </c:dLbl>
            <c:numFmt formatCode="&quot;Moyenne de la Fc : &quot;0.00" sourceLinked="0"/>
            <c:spPr>
              <a:gradFill rotWithShape="0">
                <a:gsLst>
                  <a:gs pos="0">
                    <a:srgbClr val="CCFFCC"/>
                  </a:gs>
                  <a:gs pos="100000">
                    <a:srgbClr val="FFFFC0"/>
                  </a:gs>
                </a:gsLst>
                <a:lin ang="5400000" scaled="1"/>
              </a:gradFill>
              <a:ln w="25400">
                <a:noFill/>
              </a:ln>
            </c:spPr>
            <c:txPr>
              <a:bodyPr/>
              <a:lstStyle/>
              <a:p>
                <a:pPr>
                  <a:defRPr sz="1000" b="1" i="0" u="none" strike="noStrike" baseline="0">
                    <a:solidFill>
                      <a:srgbClr val="0000FF"/>
                    </a:solidFill>
                    <a:latin typeface="Times New Roman"/>
                    <a:ea typeface="Times New Roman"/>
                    <a:cs typeface="Times New Roman"/>
                  </a:defRPr>
                </a:pPr>
                <a:endParaRPr lang="fr-FR"/>
              </a:p>
            </c:txPr>
            <c:showVal val="1"/>
          </c:dLbls>
          <c:trendline>
            <c:spPr>
              <a:ln w="25400">
                <a:solidFill>
                  <a:srgbClr val="000000"/>
                </a:solidFill>
                <a:prstDash val="solid"/>
              </a:ln>
            </c:spPr>
            <c:trendlineType val="log"/>
          </c:trendline>
          <c:trendline>
            <c:spPr>
              <a:ln w="25400">
                <a:solidFill>
                  <a:srgbClr val="000000"/>
                </a:solidFill>
                <a:prstDash val="solid"/>
              </a:ln>
            </c:spPr>
            <c:trendlineType val="power"/>
          </c:trendline>
          <c:cat>
            <c:numRef>
              <c:f>données!$B$7:$B$40</c:f>
              <c:numCache>
                <c:formatCode>General</c:formatCode>
                <c:ptCount val="34"/>
                <c:pt idx="0">
                  <c:v>9</c:v>
                </c:pt>
                <c:pt idx="1">
                  <c:v>9.5</c:v>
                </c:pt>
                <c:pt idx="2">
                  <c:v>10</c:v>
                </c:pt>
                <c:pt idx="3">
                  <c:v>10.5</c:v>
                </c:pt>
                <c:pt idx="4">
                  <c:v>11</c:v>
                </c:pt>
                <c:pt idx="5">
                  <c:v>11.5</c:v>
                </c:pt>
                <c:pt idx="6">
                  <c:v>12</c:v>
                </c:pt>
                <c:pt idx="7">
                  <c:v>12.5</c:v>
                </c:pt>
                <c:pt idx="8">
                  <c:v>13</c:v>
                </c:pt>
                <c:pt idx="9">
                  <c:v>13.5</c:v>
                </c:pt>
                <c:pt idx="10">
                  <c:v>14</c:v>
                </c:pt>
                <c:pt idx="11">
                  <c:v>14.5</c:v>
                </c:pt>
                <c:pt idx="12">
                  <c:v>15</c:v>
                </c:pt>
                <c:pt idx="13">
                  <c:v>15.5</c:v>
                </c:pt>
                <c:pt idx="14">
                  <c:v>16</c:v>
                </c:pt>
                <c:pt idx="15">
                  <c:v>16.5</c:v>
                </c:pt>
                <c:pt idx="16">
                  <c:v>17</c:v>
                </c:pt>
                <c:pt idx="17">
                  <c:v>17.5</c:v>
                </c:pt>
                <c:pt idx="18">
                  <c:v>18</c:v>
                </c:pt>
                <c:pt idx="19">
                  <c:v>18.5</c:v>
                </c:pt>
                <c:pt idx="20">
                  <c:v>19</c:v>
                </c:pt>
                <c:pt idx="21">
                  <c:v>19.5</c:v>
                </c:pt>
                <c:pt idx="22">
                  <c:v>20</c:v>
                </c:pt>
                <c:pt idx="23">
                  <c:v>20.5</c:v>
                </c:pt>
                <c:pt idx="24">
                  <c:v>21</c:v>
                </c:pt>
                <c:pt idx="25">
                  <c:v>21.5</c:v>
                </c:pt>
                <c:pt idx="26">
                  <c:v>22</c:v>
                </c:pt>
                <c:pt idx="27">
                  <c:v>22.5</c:v>
                </c:pt>
                <c:pt idx="28">
                  <c:v>23</c:v>
                </c:pt>
                <c:pt idx="29">
                  <c:v>23.5</c:v>
                </c:pt>
                <c:pt idx="30">
                  <c:v>24</c:v>
                </c:pt>
                <c:pt idx="31">
                  <c:v>24.5</c:v>
                </c:pt>
                <c:pt idx="32">
                  <c:v>25</c:v>
                </c:pt>
                <c:pt idx="33">
                  <c:v>25.5</c:v>
                </c:pt>
              </c:numCache>
            </c:numRef>
          </c:cat>
          <c:val>
            <c:numRef>
              <c:f>Programme!$H$8</c:f>
              <c:numCache>
                <c:formatCode>0.00</c:formatCode>
                <c:ptCount val="1"/>
                <c:pt idx="0">
                  <c:v>161.21052631578948</c:v>
                </c:pt>
              </c:numCache>
            </c:numRef>
          </c:val>
        </c:ser>
        <c:ser>
          <c:idx val="1"/>
          <c:order val="2"/>
          <c:tx>
            <c:v>Fc max</c:v>
          </c:tx>
          <c:spPr>
            <a:ln w="12700">
              <a:solidFill>
                <a:srgbClr val="FF00FF"/>
              </a:solidFill>
              <a:prstDash val="solid"/>
            </a:ln>
          </c:spPr>
          <c:marker>
            <c:symbol val="none"/>
          </c:marker>
          <c:dLbls>
            <c:delete val="1"/>
          </c:dLbls>
          <c:val>
            <c:numRef>
              <c:f>Programme!$G$11</c:f>
              <c:numCache>
                <c:formatCode>0</c:formatCode>
                <c:ptCount val="1"/>
                <c:pt idx="0">
                  <c:v>187</c:v>
                </c:pt>
              </c:numCache>
            </c:numRef>
          </c:val>
        </c:ser>
        <c:dLbls>
          <c:showVal val="1"/>
        </c:dLbls>
        <c:marker val="1"/>
        <c:axId val="84423040"/>
        <c:axId val="84424960"/>
      </c:lineChart>
      <c:catAx>
        <c:axId val="84423040"/>
        <c:scaling>
          <c:orientation val="minMax"/>
        </c:scaling>
        <c:axPos val="b"/>
        <c:majorGridlines>
          <c:spPr>
            <a:ln w="3175">
              <a:solidFill>
                <a:srgbClr val="000000"/>
              </a:solidFill>
              <a:prstDash val="sysDash"/>
            </a:ln>
          </c:spPr>
        </c:majorGridlines>
        <c:title>
          <c:tx>
            <c:rich>
              <a:bodyPr/>
              <a:lstStyle/>
              <a:p>
                <a:pPr>
                  <a:defRPr sz="2075" b="1" i="0" u="none" strike="noStrike" baseline="0">
                    <a:solidFill>
                      <a:srgbClr val="0000FF"/>
                    </a:solidFill>
                    <a:latin typeface="Times New Roman"/>
                    <a:ea typeface="Times New Roman"/>
                    <a:cs typeface="Times New Roman"/>
                  </a:defRPr>
                </a:pPr>
                <a:r>
                  <a:rPr lang="fr-FR" sz="2075" b="1" i="0" u="none" strike="noStrike" baseline="0">
                    <a:solidFill>
                      <a:srgbClr val="0000FF"/>
                    </a:solidFill>
                    <a:latin typeface="Times New Roman"/>
                    <a:cs typeface="Times New Roman"/>
                  </a:rPr>
                  <a:t>Vitesse </a:t>
                </a:r>
                <a:r>
                  <a:rPr lang="fr-FR" sz="1600" b="1" i="0" u="none" strike="noStrike" baseline="0">
                    <a:solidFill>
                      <a:srgbClr val="0000FF"/>
                    </a:solidFill>
                    <a:latin typeface="Times New Roman"/>
                    <a:cs typeface="Times New Roman"/>
                  </a:rPr>
                  <a:t>en km/h</a:t>
                </a:r>
              </a:p>
            </c:rich>
          </c:tx>
          <c:layout>
            <c:manualLayout>
              <c:xMode val="edge"/>
              <c:yMode val="edge"/>
              <c:x val="0.46285714285714286"/>
              <c:y val="0.91412065894607863"/>
            </c:manualLayout>
          </c:layout>
          <c:spPr>
            <a:solidFill>
              <a:srgbClr val="FFFFC0"/>
            </a:solidFill>
            <a:ln w="25400">
              <a:noFill/>
            </a:ln>
          </c:spPr>
        </c:title>
        <c:numFmt formatCode="General" sourceLinked="1"/>
        <c:majorTickMark val="cross"/>
        <c:minorTickMark val="cross"/>
        <c:tickLblPos val="low"/>
        <c:spPr>
          <a:ln w="3175">
            <a:solidFill>
              <a:srgbClr val="000000"/>
            </a:solidFill>
            <a:prstDash val="solid"/>
          </a:ln>
        </c:spPr>
        <c:txPr>
          <a:bodyPr rot="-2700000" vert="horz"/>
          <a:lstStyle/>
          <a:p>
            <a:pPr>
              <a:defRPr sz="800" b="0" i="0" u="none" strike="noStrike" baseline="0">
                <a:solidFill>
                  <a:srgbClr val="3366FF"/>
                </a:solidFill>
                <a:latin typeface="Times New Roman"/>
                <a:ea typeface="Times New Roman"/>
                <a:cs typeface="Times New Roman"/>
              </a:defRPr>
            </a:pPr>
            <a:endParaRPr lang="fr-FR"/>
          </a:p>
        </c:txPr>
        <c:crossAx val="84424960"/>
        <c:crosses val="autoZero"/>
        <c:auto val="1"/>
        <c:lblAlgn val="ctr"/>
        <c:lblOffset val="100"/>
        <c:tickLblSkip val="1"/>
        <c:tickMarkSkip val="1"/>
      </c:catAx>
      <c:valAx>
        <c:axId val="84424960"/>
        <c:scaling>
          <c:orientation val="minMax"/>
          <c:max val="200"/>
          <c:min val="130"/>
        </c:scaling>
        <c:axPos val="l"/>
        <c:majorGridlines>
          <c:spPr>
            <a:ln w="3175">
              <a:solidFill>
                <a:srgbClr val="000000"/>
              </a:solidFill>
              <a:prstDash val="solid"/>
            </a:ln>
          </c:spPr>
        </c:majorGridlines>
        <c:title>
          <c:tx>
            <c:rich>
              <a:bodyPr/>
              <a:lstStyle/>
              <a:p>
                <a:pPr>
                  <a:defRPr sz="2075" b="1" i="0" u="none" strike="noStrike" baseline="0">
                    <a:solidFill>
                      <a:srgbClr val="3366FF"/>
                    </a:solidFill>
                    <a:latin typeface="Times New Roman"/>
                    <a:ea typeface="Times New Roman"/>
                    <a:cs typeface="Times New Roman"/>
                  </a:defRPr>
                </a:pPr>
                <a:r>
                  <a:rPr lang="fr-FR" sz="2075" b="1" i="0" u="none" strike="noStrike" baseline="0">
                    <a:solidFill>
                      <a:srgbClr val="3366FF"/>
                    </a:solidFill>
                    <a:latin typeface="Times New Roman"/>
                    <a:cs typeface="Times New Roman"/>
                  </a:rPr>
                  <a:t>FC </a:t>
                </a:r>
                <a:r>
                  <a:rPr lang="fr-FR" sz="1600" b="1" i="0" u="none" strike="noStrike" baseline="0">
                    <a:solidFill>
                      <a:srgbClr val="3366FF"/>
                    </a:solidFill>
                    <a:latin typeface="Times New Roman"/>
                    <a:cs typeface="Times New Roman"/>
                  </a:rPr>
                  <a:t>en puls/min</a:t>
                </a:r>
              </a:p>
            </c:rich>
          </c:tx>
          <c:layout>
            <c:manualLayout>
              <c:xMode val="edge"/>
              <c:yMode val="edge"/>
              <c:x val="2.057142857142857E-2"/>
              <c:y val="0.40756972054920704"/>
            </c:manualLayout>
          </c:layout>
          <c:spPr>
            <a:solidFill>
              <a:srgbClr val="FFFFC0"/>
            </a:solidFill>
            <a:ln w="25400">
              <a:noFill/>
            </a:ln>
          </c:spPr>
        </c:title>
        <c:numFmt formatCode="General" sourceLinked="1"/>
        <c:tickLblPos val="nextTo"/>
        <c:spPr>
          <a:ln w="3175">
            <a:solidFill>
              <a:srgbClr val="000000"/>
            </a:solidFill>
            <a:prstDash val="solid"/>
          </a:ln>
        </c:spPr>
        <c:txPr>
          <a:bodyPr rot="0" vert="horz"/>
          <a:lstStyle/>
          <a:p>
            <a:pPr>
              <a:defRPr sz="1275" b="1" i="0" u="none" strike="noStrike" baseline="0">
                <a:solidFill>
                  <a:srgbClr val="FF0000"/>
                </a:solidFill>
                <a:latin typeface="Times New Roman"/>
                <a:ea typeface="Times New Roman"/>
                <a:cs typeface="Times New Roman"/>
              </a:defRPr>
            </a:pPr>
            <a:endParaRPr lang="fr-FR"/>
          </a:p>
        </c:txPr>
        <c:crossAx val="84423040"/>
        <c:crosses val="autoZero"/>
        <c:crossBetween val="between"/>
        <c:majorUnit val="5"/>
        <c:minorUnit val="1"/>
      </c:valAx>
      <c:spPr>
        <a:solidFill>
          <a:srgbClr val="FFFFFF"/>
        </a:solidFill>
        <a:ln w="12700">
          <a:solidFill>
            <a:srgbClr val="FFFFFF"/>
          </a:solidFill>
          <a:prstDash val="solid"/>
        </a:ln>
      </c:spPr>
    </c:plotArea>
    <c:plotVisOnly val="1"/>
    <c:dispBlanksAs val="gap"/>
  </c:chart>
  <c:spPr>
    <a:gradFill rotWithShape="0">
      <a:gsLst>
        <a:gs pos="0">
          <a:srgbClr val="CCFFCC"/>
        </a:gs>
        <a:gs pos="100000">
          <a:srgbClr val="A0E0E0"/>
        </a:gs>
      </a:gsLst>
      <a:lin ang="5400000" scaled="1"/>
    </a:gradFill>
    <a:ln w="3175">
      <a:solidFill>
        <a:srgbClr val="000000"/>
      </a:solidFill>
      <a:prstDash val="solid"/>
    </a:ln>
  </c:spPr>
  <c:txPr>
    <a:bodyPr/>
    <a:lstStyle/>
    <a:p>
      <a:pPr>
        <a:defRPr sz="2075"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horizontalDpi="-2"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00" b="0" i="0" u="none" strike="noStrike" baseline="0">
                <a:solidFill>
                  <a:srgbClr val="000000"/>
                </a:solidFill>
                <a:latin typeface="Comic Sans MS"/>
                <a:ea typeface="Comic Sans MS"/>
                <a:cs typeface="Comic Sans MS"/>
              </a:defRPr>
            </a:pPr>
            <a:r>
              <a:rPr lang="fr-FR"/>
              <a:t>  Test  Résultats</a:t>
            </a:r>
          </a:p>
        </c:rich>
      </c:tx>
      <c:layout>
        <c:manualLayout>
          <c:xMode val="edge"/>
          <c:yMode val="edge"/>
          <c:x val="0.44141118437498267"/>
          <c:y val="8.2508383786457987E-3"/>
        </c:manualLayout>
      </c:layout>
      <c:spPr>
        <a:noFill/>
        <a:ln w="25400">
          <a:noFill/>
        </a:ln>
      </c:spPr>
    </c:title>
    <c:plotArea>
      <c:layout>
        <c:manualLayout>
          <c:layoutTarget val="inner"/>
          <c:xMode val="edge"/>
          <c:yMode val="edge"/>
          <c:x val="6.5984146117909773E-2"/>
          <c:y val="6.765687470489555E-2"/>
          <c:w val="0.90898849565879158"/>
          <c:h val="0.80363165808010084"/>
        </c:manualLayout>
      </c:layout>
      <c:lineChart>
        <c:grouping val="standard"/>
        <c:varyColors val="1"/>
        <c:ser>
          <c:idx val="0"/>
          <c:order val="0"/>
          <c:tx>
            <c:strRef>
              <c:f>données!$G$5</c:f>
              <c:strCache>
                <c:ptCount val="1"/>
                <c:pt idx="0">
                  <c:v>115</c:v>
                </c:pt>
              </c:strCache>
            </c:strRef>
          </c:tx>
          <c:spPr>
            <a:ln w="28575">
              <a:noFill/>
            </a:ln>
          </c:spPr>
          <c:marker>
            <c:symbol val="diamond"/>
            <c:size val="7"/>
            <c:spPr>
              <a:solidFill>
                <a:srgbClr val="FF0000"/>
              </a:solidFill>
              <a:ln>
                <a:solidFill>
                  <a:srgbClr val="FF0000"/>
                </a:solidFill>
                <a:prstDash val="solid"/>
              </a:ln>
            </c:spPr>
          </c:marker>
          <c:dPt>
            <c:idx val="0"/>
            <c:spPr>
              <a:ln w="28575">
                <a:noFill/>
              </a:ln>
            </c:spPr>
          </c:dPt>
          <c:dPt>
            <c:idx val="1"/>
          </c:dPt>
          <c:dPt>
            <c:idx val="2"/>
          </c:dPt>
          <c:dPt>
            <c:idx val="3"/>
          </c:dPt>
          <c:dPt>
            <c:idx val="4"/>
          </c:dPt>
          <c:dPt>
            <c:idx val="5"/>
          </c:dPt>
          <c:dPt>
            <c:idx val="6"/>
          </c:dPt>
          <c:dPt>
            <c:idx val="7"/>
          </c:dPt>
          <c:dPt>
            <c:idx val="8"/>
          </c:dPt>
          <c:dPt>
            <c:idx val="9"/>
          </c:dPt>
          <c:dPt>
            <c:idx val="10"/>
          </c:dPt>
          <c:dPt>
            <c:idx val="11"/>
          </c:dPt>
          <c:dPt>
            <c:idx val="12"/>
          </c:dPt>
          <c:dPt>
            <c:idx val="13"/>
          </c:dPt>
          <c:dPt>
            <c:idx val="14"/>
          </c:dPt>
          <c:dPt>
            <c:idx val="15"/>
          </c:dPt>
          <c:dPt>
            <c:idx val="16"/>
          </c:dPt>
          <c:dPt>
            <c:idx val="17"/>
          </c:dPt>
          <c:dPt>
            <c:idx val="18"/>
          </c:dPt>
          <c:dPt>
            <c:idx val="19"/>
          </c:dPt>
          <c:dPt>
            <c:idx val="20"/>
          </c:dPt>
          <c:dPt>
            <c:idx val="21"/>
          </c:dPt>
          <c:dPt>
            <c:idx val="22"/>
          </c:dPt>
          <c:dPt>
            <c:idx val="23"/>
          </c:dPt>
          <c:dPt>
            <c:idx val="24"/>
          </c:dPt>
          <c:dPt>
            <c:idx val="25"/>
          </c:dPt>
          <c:dPt>
            <c:idx val="26"/>
          </c:dPt>
          <c:dPt>
            <c:idx val="27"/>
          </c:dPt>
          <c:dPt>
            <c:idx val="28"/>
          </c:dPt>
          <c:dPt>
            <c:idx val="29"/>
          </c:dPt>
          <c:dPt>
            <c:idx val="30"/>
          </c:dPt>
          <c:dPt>
            <c:idx val="31"/>
          </c:dPt>
          <c:dPt>
            <c:idx val="32"/>
          </c:dPt>
          <c:dPt>
            <c:idx val="33"/>
          </c:dPt>
          <c:dPt>
            <c:idx val="34"/>
          </c:dPt>
          <c:dPt>
            <c:idx val="35"/>
          </c:dPt>
          <c:trendline>
            <c:spPr>
              <a:ln w="12700">
                <a:solidFill>
                  <a:srgbClr val="0000FF"/>
                </a:solidFill>
                <a:prstDash val="solid"/>
              </a:ln>
            </c:spPr>
            <c:trendlineType val="log"/>
            <c:dispEq val="1"/>
            <c:trendlineLbl>
              <c:layout>
                <c:manualLayout>
                  <c:x val="1.4190212082699369E-2"/>
                  <c:y val="5.2805322679810071E-2"/>
                </c:manualLayout>
              </c:layout>
              <c:tx>
                <c:rich>
                  <a:bodyPr/>
                  <a:lstStyle/>
                  <a:p>
                    <a:pPr>
                      <a:defRPr sz="1200" b="1" i="0" u="none" strike="noStrike" baseline="0">
                        <a:solidFill>
                          <a:srgbClr val="0000FF"/>
                        </a:solidFill>
                        <a:latin typeface="Arial"/>
                        <a:ea typeface="Arial"/>
                        <a:cs typeface="Arial"/>
                      </a:defRPr>
                    </a:pPr>
                    <a:r>
                      <a:rPr lang="fr-FR"/>
                      <a:t>y = 28,442Ln(x) + 108,9</a:t>
                    </a:r>
                  </a:p>
                </c:rich>
              </c:tx>
              <c:numFmt formatCode="General" sourceLinked="0"/>
              <c:spPr>
                <a:noFill/>
                <a:ln w="25400">
                  <a:noFill/>
                </a:ln>
              </c:spPr>
            </c:trendlineLbl>
          </c:trendline>
          <c:cat>
            <c:numRef>
              <c:f>données!$F$5:$F$40</c:f>
              <c:numCache>
                <c:formatCode>General</c:formatCode>
                <c:ptCount val="36"/>
                <c:pt idx="0">
                  <c:v>8</c:v>
                </c:pt>
                <c:pt idx="1">
                  <c:v>8.5</c:v>
                </c:pt>
                <c:pt idx="2">
                  <c:v>9</c:v>
                </c:pt>
                <c:pt idx="3">
                  <c:v>9.5</c:v>
                </c:pt>
                <c:pt idx="4">
                  <c:v>10</c:v>
                </c:pt>
                <c:pt idx="5">
                  <c:v>10.5</c:v>
                </c:pt>
                <c:pt idx="6">
                  <c:v>11</c:v>
                </c:pt>
                <c:pt idx="7">
                  <c:v>11.5</c:v>
                </c:pt>
                <c:pt idx="8">
                  <c:v>12</c:v>
                </c:pt>
                <c:pt idx="9">
                  <c:v>12.5</c:v>
                </c:pt>
                <c:pt idx="10">
                  <c:v>13</c:v>
                </c:pt>
                <c:pt idx="11">
                  <c:v>13.5</c:v>
                </c:pt>
                <c:pt idx="12">
                  <c:v>14</c:v>
                </c:pt>
                <c:pt idx="13">
                  <c:v>14.5</c:v>
                </c:pt>
                <c:pt idx="14">
                  <c:v>15</c:v>
                </c:pt>
                <c:pt idx="15">
                  <c:v>15.5</c:v>
                </c:pt>
                <c:pt idx="16">
                  <c:v>16</c:v>
                </c:pt>
                <c:pt idx="17">
                  <c:v>16.5</c:v>
                </c:pt>
                <c:pt idx="18">
                  <c:v>17</c:v>
                </c:pt>
                <c:pt idx="19">
                  <c:v>17.5</c:v>
                </c:pt>
              </c:numCache>
            </c:numRef>
          </c:cat>
          <c:val>
            <c:numRef>
              <c:f>données!$G$5:$G$40</c:f>
              <c:numCache>
                <c:formatCode>General</c:formatCode>
                <c:ptCount val="36"/>
                <c:pt idx="0">
                  <c:v>115</c:v>
                </c:pt>
                <c:pt idx="1">
                  <c:v>120</c:v>
                </c:pt>
                <c:pt idx="2">
                  <c:v>126</c:v>
                </c:pt>
                <c:pt idx="3">
                  <c:v>135</c:v>
                </c:pt>
                <c:pt idx="4">
                  <c:v>144</c:v>
                </c:pt>
                <c:pt idx="5">
                  <c:v>148</c:v>
                </c:pt>
                <c:pt idx="6">
                  <c:v>150</c:v>
                </c:pt>
                <c:pt idx="7">
                  <c:v>154</c:v>
                </c:pt>
                <c:pt idx="8">
                  <c:v>158</c:v>
                </c:pt>
                <c:pt idx="9">
                  <c:v>161</c:v>
                </c:pt>
                <c:pt idx="10">
                  <c:v>165</c:v>
                </c:pt>
                <c:pt idx="11">
                  <c:v>169</c:v>
                </c:pt>
                <c:pt idx="12">
                  <c:v>171</c:v>
                </c:pt>
                <c:pt idx="13">
                  <c:v>175</c:v>
                </c:pt>
                <c:pt idx="14">
                  <c:v>176</c:v>
                </c:pt>
                <c:pt idx="15">
                  <c:v>176</c:v>
                </c:pt>
                <c:pt idx="16">
                  <c:v>180</c:v>
                </c:pt>
                <c:pt idx="17">
                  <c:v>183</c:v>
                </c:pt>
                <c:pt idx="18">
                  <c:v>185</c:v>
                </c:pt>
                <c:pt idx="19">
                  <c:v>187</c:v>
                </c:pt>
              </c:numCache>
            </c:numRef>
          </c:val>
        </c:ser>
        <c:marker val="1"/>
        <c:axId val="97087872"/>
        <c:axId val="97089792"/>
      </c:lineChart>
      <c:catAx>
        <c:axId val="97087872"/>
        <c:scaling>
          <c:orientation val="minMax"/>
        </c:scaling>
        <c:axPos val="b"/>
        <c:majorGridlines>
          <c:spPr>
            <a:ln w="3175">
              <a:solidFill>
                <a:srgbClr val="000000"/>
              </a:solidFill>
              <a:prstDash val="solid"/>
            </a:ln>
          </c:spPr>
        </c:majorGridlines>
        <c:title>
          <c:tx>
            <c:rich>
              <a:bodyPr/>
              <a:lstStyle/>
              <a:p>
                <a:pPr>
                  <a:defRPr sz="1000" b="0" i="0" u="none" strike="noStrike" baseline="0">
                    <a:solidFill>
                      <a:srgbClr val="000000"/>
                    </a:solidFill>
                    <a:latin typeface="Comic Sans MS"/>
                    <a:ea typeface="Comic Sans MS"/>
                    <a:cs typeface="Comic Sans MS"/>
                  </a:defRPr>
                </a:pPr>
                <a:r>
                  <a:rPr lang="fr-FR"/>
                  <a:t>Vitesse (km/h)</a:t>
                </a:r>
              </a:p>
            </c:rich>
          </c:tx>
          <c:layout>
            <c:manualLayout>
              <c:xMode val="edge"/>
              <c:yMode val="edge"/>
              <c:x val="0.46643965359212081"/>
              <c:y val="0.91914339538114198"/>
            </c:manualLayout>
          </c:layout>
          <c:spPr>
            <a:noFill/>
            <a:ln w="25400">
              <a:noFill/>
            </a:ln>
          </c:spPr>
        </c:title>
        <c:numFmt formatCode="#,##0.00" sourceLinked="0"/>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fr-FR"/>
          </a:p>
        </c:txPr>
        <c:crossAx val="97089792"/>
        <c:crossesAt val="0"/>
        <c:lblAlgn val="ctr"/>
        <c:lblOffset val="100"/>
        <c:tickLblSkip val="2"/>
        <c:tickMarkSkip val="1"/>
      </c:catAx>
      <c:valAx>
        <c:axId val="97089792"/>
        <c:scaling>
          <c:orientation val="minMax"/>
          <c:max val="200"/>
          <c:min val="130"/>
        </c:scaling>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Comic Sans MS"/>
                    <a:ea typeface="Comic Sans MS"/>
                    <a:cs typeface="Comic Sans MS"/>
                  </a:defRPr>
                </a:pPr>
                <a:r>
                  <a:rPr lang="fr-FR"/>
                  <a:t>Fréquence cardiaque (puls/min)</a:t>
                </a:r>
              </a:p>
            </c:rich>
          </c:tx>
          <c:layout>
            <c:manualLayout>
              <c:xMode val="edge"/>
              <c:yMode val="edge"/>
              <c:x val="5.6882884584404979E-3"/>
              <c:y val="0.30033051698270707"/>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7087872"/>
        <c:crosses val="autoZero"/>
        <c:crossBetween val="midCat"/>
        <c:majorUnit val="10"/>
        <c:minorUnit val="5"/>
      </c:valAx>
      <c:spPr>
        <a:noFill/>
        <a:ln w="25400">
          <a:noFill/>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2"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sng" strike="noStrike" baseline="0">
                <a:solidFill>
                  <a:srgbClr val="FF0000"/>
                </a:solidFill>
                <a:latin typeface="Arial"/>
                <a:ea typeface="Arial"/>
                <a:cs typeface="Arial"/>
              </a:defRPr>
            </a:pPr>
            <a:r>
              <a:rPr lang="fr-FR"/>
              <a:t>Indice d'endurance</a:t>
            </a:r>
          </a:p>
        </c:rich>
      </c:tx>
      <c:layout>
        <c:manualLayout>
          <c:xMode val="edge"/>
          <c:yMode val="edge"/>
          <c:x val="0.35320417287630401"/>
          <c:y val="2.928873284757131E-2"/>
        </c:manualLayout>
      </c:layout>
      <c:spPr>
        <a:noFill/>
        <a:ln w="25400">
          <a:noFill/>
        </a:ln>
      </c:spPr>
    </c:title>
    <c:plotArea>
      <c:layout>
        <c:manualLayout>
          <c:layoutTarget val="inner"/>
          <c:xMode val="edge"/>
          <c:yMode val="edge"/>
          <c:x val="9.2399403874813713E-2"/>
          <c:y val="0.12343108842905051"/>
          <c:w val="0.89269746646795822"/>
          <c:h val="0.56485413348887525"/>
        </c:manualLayout>
      </c:layout>
      <c:lineChart>
        <c:grouping val="standard"/>
        <c:ser>
          <c:idx val="0"/>
          <c:order val="0"/>
          <c:spPr>
            <a:ln w="12700">
              <a:solidFill>
                <a:srgbClr val="FF0000"/>
              </a:solidFill>
              <a:prstDash val="solid"/>
            </a:ln>
          </c:spPr>
          <c:marker>
            <c:symbol val="diamond"/>
            <c:size val="8"/>
            <c:spPr>
              <a:solidFill>
                <a:srgbClr val="FF0000"/>
              </a:solidFill>
              <a:ln>
                <a:solidFill>
                  <a:srgbClr val="FF0000"/>
                </a:solidFill>
                <a:prstDash val="solid"/>
              </a:ln>
              <a:effectLst>
                <a:outerShdw dist="35921" dir="2700000" algn="br">
                  <a:srgbClr val="000000"/>
                </a:outerShdw>
              </a:effectLst>
            </c:spPr>
          </c:marker>
          <c:dLbls>
            <c:dLbl>
              <c:idx val="0"/>
              <c:layout>
                <c:manualLayout>
                  <c:x val="-3.1042319412009803E-4"/>
                  <c:y val="-2.2170112570797679E-2"/>
                </c:manualLayout>
              </c:layout>
              <c:numFmt formatCode="0.00&quot; km/h&quot;" sourceLinked="0"/>
              <c:spPr>
                <a:noFill/>
                <a:ln w="25400">
                  <a:noFill/>
                </a:ln>
              </c:spPr>
              <c:txPr>
                <a:bodyPr/>
                <a:lstStyle/>
                <a:p>
                  <a:pPr>
                    <a:defRPr sz="800" b="1" i="0" u="none" strike="noStrike" baseline="0">
                      <a:solidFill>
                        <a:srgbClr val="3333CC"/>
                      </a:solidFill>
                      <a:latin typeface="Arial"/>
                      <a:ea typeface="Arial"/>
                      <a:cs typeface="Arial"/>
                    </a:defRPr>
                  </a:pPr>
                  <a:endParaRPr lang="fr-FR"/>
                </a:p>
              </c:txPr>
              <c:dLblPos val="r"/>
              <c:showVal val="1"/>
            </c:dLbl>
            <c:dLbl>
              <c:idx val="1"/>
              <c:layout>
                <c:manualLayout>
                  <c:x val="-1.428197034238062E-3"/>
                  <c:y val="-2.0361358815980203E-2"/>
                </c:manualLayout>
              </c:layout>
              <c:numFmt formatCode="0.00&quot; km/h&quot;" sourceLinked="0"/>
              <c:spPr>
                <a:noFill/>
                <a:ln w="25400">
                  <a:noFill/>
                </a:ln>
              </c:spPr>
              <c:txPr>
                <a:bodyPr/>
                <a:lstStyle/>
                <a:p>
                  <a:pPr>
                    <a:defRPr sz="800" b="1" i="0" u="none" strike="noStrike" baseline="0">
                      <a:solidFill>
                        <a:srgbClr val="3333CC"/>
                      </a:solidFill>
                      <a:latin typeface="Arial"/>
                      <a:ea typeface="Arial"/>
                      <a:cs typeface="Arial"/>
                    </a:defRPr>
                  </a:pPr>
                  <a:endParaRPr lang="fr-FR"/>
                </a:p>
              </c:txPr>
              <c:dLblPos val="r"/>
              <c:showVal val="1"/>
            </c:dLbl>
            <c:dLbl>
              <c:idx val="2"/>
              <c:layout>
                <c:manualLayout>
                  <c:x val="-1.0556579086332528E-3"/>
                  <c:y val="-1.5051531239265529E-2"/>
                </c:manualLayout>
              </c:layout>
              <c:numFmt formatCode="0.00&quot; km/h&quot;" sourceLinked="0"/>
              <c:spPr>
                <a:noFill/>
                <a:ln w="25400">
                  <a:noFill/>
                </a:ln>
              </c:spPr>
              <c:txPr>
                <a:bodyPr/>
                <a:lstStyle/>
                <a:p>
                  <a:pPr>
                    <a:defRPr sz="800" b="1" i="0" u="none" strike="noStrike" baseline="0">
                      <a:solidFill>
                        <a:srgbClr val="3333CC"/>
                      </a:solidFill>
                      <a:latin typeface="Arial"/>
                      <a:ea typeface="Arial"/>
                      <a:cs typeface="Arial"/>
                    </a:defRPr>
                  </a:pPr>
                  <a:endParaRPr lang="fr-FR"/>
                </a:p>
              </c:txPr>
              <c:dLblPos val="r"/>
              <c:showVal val="1"/>
            </c:dLbl>
            <c:dLbl>
              <c:idx val="3"/>
              <c:layout>
                <c:manualLayout>
                  <c:x val="-3.3470004028930064E-2"/>
                  <c:y val="-2.8438605315170028E-2"/>
                </c:manualLayout>
              </c:layout>
              <c:numFmt formatCode="0.00&quot; km/h&quot;" sourceLinked="0"/>
              <c:spPr>
                <a:noFill/>
                <a:ln w="25400">
                  <a:noFill/>
                </a:ln>
              </c:spPr>
              <c:txPr>
                <a:bodyPr/>
                <a:lstStyle/>
                <a:p>
                  <a:pPr>
                    <a:defRPr sz="800" b="1" i="0" u="none" strike="noStrike" baseline="0">
                      <a:solidFill>
                        <a:srgbClr val="3333CC"/>
                      </a:solidFill>
                      <a:latin typeface="Arial"/>
                      <a:ea typeface="Arial"/>
                      <a:cs typeface="Arial"/>
                    </a:defRPr>
                  </a:pPr>
                  <a:endParaRPr lang="fr-FR"/>
                </a:p>
              </c:txPr>
              <c:dLblPos val="r"/>
              <c:showVal val="1"/>
            </c:dLbl>
            <c:numFmt formatCode="0.00&quot; km/h&quot;" sourceLinked="0"/>
            <c:spPr>
              <a:noFill/>
              <a:ln w="25400">
                <a:noFill/>
              </a:ln>
            </c:spPr>
            <c:txPr>
              <a:bodyPr/>
              <a:lstStyle/>
              <a:p>
                <a:pPr>
                  <a:defRPr sz="800" b="0" i="0" u="none" strike="noStrike" baseline="0">
                    <a:solidFill>
                      <a:srgbClr val="3333CC"/>
                    </a:solidFill>
                    <a:latin typeface="Arial"/>
                    <a:ea typeface="Arial"/>
                    <a:cs typeface="Arial"/>
                  </a:defRPr>
                </a:pPr>
                <a:endParaRPr lang="fr-FR"/>
              </a:p>
            </c:txPr>
            <c:showVal val="1"/>
          </c:dLbls>
          <c:cat>
            <c:multiLvlStrRef>
              <c:f>'Indice Endurance'!$B$20:$D$23</c:f>
              <c:multiLvlStrCache>
                <c:ptCount val="4"/>
                <c:lvl>
                  <c:pt idx="0">
                    <c:v>00:20:00</c:v>
                  </c:pt>
                  <c:pt idx="1">
                    <c:v>00:41:50</c:v>
                  </c:pt>
                  <c:pt idx="2">
                    <c:v>01:38:00</c:v>
                  </c:pt>
                  <c:pt idx="3">
                    <c:v>03:45:00</c:v>
                  </c:pt>
                </c:lvl>
                <c:lvl>
                  <c:pt idx="0">
                    <c:v>-4,25</c:v>
                  </c:pt>
                  <c:pt idx="1">
                    <c:v>-4,84</c:v>
                  </c:pt>
                  <c:pt idx="2">
                    <c:v>-6,86</c:v>
                  </c:pt>
                  <c:pt idx="3">
                    <c:v>-8,16</c:v>
                  </c:pt>
                </c:lvl>
                <c:lvl>
                  <c:pt idx="0">
                    <c:v>5 km</c:v>
                  </c:pt>
                  <c:pt idx="1">
                    <c:v>10 km</c:v>
                  </c:pt>
                  <c:pt idx="2">
                    <c:v>Semi</c:v>
                  </c:pt>
                  <c:pt idx="3">
                    <c:v>Marathon</c:v>
                  </c:pt>
                </c:lvl>
              </c:multiLvlStrCache>
            </c:multiLvlStrRef>
          </c:cat>
          <c:val>
            <c:numRef>
              <c:f>'Indice Endurance'!$E$20:$E$23</c:f>
              <c:numCache>
                <c:formatCode>0.00</c:formatCode>
                <c:ptCount val="4"/>
                <c:pt idx="0">
                  <c:v>15.000000012000003</c:v>
                </c:pt>
                <c:pt idx="1">
                  <c:v>14.342629493545818</c:v>
                </c:pt>
                <c:pt idx="2">
                  <c:v>12.857142867428573</c:v>
                </c:pt>
                <c:pt idx="3">
                  <c:v>11.2520000090016</c:v>
                </c:pt>
              </c:numCache>
            </c:numRef>
          </c:val>
        </c:ser>
        <c:dLbls>
          <c:showVal val="1"/>
        </c:dLbls>
        <c:marker val="1"/>
        <c:axId val="97605120"/>
        <c:axId val="97607040"/>
      </c:lineChart>
      <c:catAx>
        <c:axId val="97605120"/>
        <c:scaling>
          <c:orientation val="minMax"/>
        </c:scaling>
        <c:axPos val="b"/>
        <c:minorGridlines>
          <c:spPr>
            <a:ln w="3175">
              <a:solidFill>
                <a:srgbClr val="000000"/>
              </a:solidFill>
              <a:prstDash val="solid"/>
            </a:ln>
          </c:spPr>
        </c:minorGridlines>
        <c:title>
          <c:tx>
            <c:rich>
              <a:bodyPr/>
              <a:lstStyle/>
              <a:p>
                <a:pPr>
                  <a:defRPr sz="1100" b="1" i="0" u="none" strike="noStrike" baseline="0">
                    <a:solidFill>
                      <a:srgbClr val="FF0000"/>
                    </a:solidFill>
                    <a:latin typeface="Arial"/>
                    <a:ea typeface="Arial"/>
                    <a:cs typeface="Arial"/>
                  </a:defRPr>
                </a:pPr>
                <a:r>
                  <a:rPr lang="fr-FR"/>
                  <a:t>Distance de course</a:t>
                </a:r>
              </a:p>
            </c:rich>
          </c:tx>
          <c:layout>
            <c:manualLayout>
              <c:xMode val="edge"/>
              <c:yMode val="edge"/>
              <c:x val="0.4098360655737705"/>
              <c:y val="0.87656993308088416"/>
            </c:manualLayout>
          </c:layout>
          <c:spPr>
            <a:noFill/>
            <a:ln w="25400">
              <a:noFill/>
            </a:ln>
          </c:spPr>
        </c:title>
        <c:numFmt formatCode="hh:mm:ss" sourceLinked="1"/>
        <c:tickLblPos val="nextTo"/>
        <c:spPr>
          <a:ln w="3175">
            <a:solidFill>
              <a:srgbClr val="000000"/>
            </a:solidFill>
            <a:prstDash val="solid"/>
          </a:ln>
        </c:spPr>
        <c:txPr>
          <a:bodyPr rot="0" vert="horz"/>
          <a:lstStyle/>
          <a:p>
            <a:pPr>
              <a:defRPr sz="875" b="1" i="0" u="none" strike="noStrike" baseline="0">
                <a:solidFill>
                  <a:srgbClr val="3333CC"/>
                </a:solidFill>
                <a:latin typeface="Arial"/>
                <a:ea typeface="Arial"/>
                <a:cs typeface="Arial"/>
              </a:defRPr>
            </a:pPr>
            <a:endParaRPr lang="fr-FR"/>
          </a:p>
        </c:txPr>
        <c:crossAx val="97607040"/>
        <c:crosses val="autoZero"/>
        <c:auto val="1"/>
        <c:lblAlgn val="ctr"/>
        <c:lblOffset val="100"/>
        <c:tickLblSkip val="1"/>
        <c:tickMarkSkip val="1"/>
      </c:catAx>
      <c:valAx>
        <c:axId val="97607040"/>
        <c:scaling>
          <c:orientation val="minMax"/>
          <c:max val="20"/>
          <c:min val="9"/>
        </c:scaling>
        <c:axPos val="l"/>
        <c:majorGridlines>
          <c:spPr>
            <a:ln w="3175">
              <a:solidFill>
                <a:srgbClr val="000000"/>
              </a:solidFill>
              <a:prstDash val="solid"/>
            </a:ln>
          </c:spPr>
        </c:majorGridlines>
        <c:title>
          <c:tx>
            <c:rich>
              <a:bodyPr/>
              <a:lstStyle/>
              <a:p>
                <a:pPr>
                  <a:defRPr sz="1100" b="1" i="0" u="none" strike="noStrike" baseline="0">
                    <a:solidFill>
                      <a:srgbClr val="FF0000"/>
                    </a:solidFill>
                    <a:latin typeface="Arial"/>
                    <a:ea typeface="Arial"/>
                    <a:cs typeface="Arial"/>
                  </a:defRPr>
                </a:pPr>
                <a:r>
                  <a:rPr lang="fr-FR"/>
                  <a:t>Vitesse en km/h</a:t>
                </a:r>
              </a:p>
            </c:rich>
          </c:tx>
          <c:layout>
            <c:manualLayout>
              <c:xMode val="edge"/>
              <c:yMode val="edge"/>
              <c:x val="1.1922503725782414E-2"/>
              <c:y val="0.28661117143694781"/>
            </c:manualLayout>
          </c:layout>
          <c:spPr>
            <a:noFill/>
            <a:ln w="25400">
              <a:noFill/>
            </a:ln>
          </c:spPr>
        </c:title>
        <c:numFmt formatCode="0" sourceLinked="0"/>
        <c:tickLblPos val="nextTo"/>
        <c:spPr>
          <a:ln w="12700">
            <a:solidFill>
              <a:srgbClr val="000000"/>
            </a:solidFill>
            <a:prstDash val="solid"/>
          </a:ln>
        </c:spPr>
        <c:txPr>
          <a:bodyPr rot="0" vert="horz"/>
          <a:lstStyle/>
          <a:p>
            <a:pPr>
              <a:defRPr sz="1000" b="1" i="0" u="none" strike="noStrike" baseline="0">
                <a:solidFill>
                  <a:srgbClr val="3333CC"/>
                </a:solidFill>
                <a:latin typeface="Arial"/>
                <a:ea typeface="Arial"/>
                <a:cs typeface="Arial"/>
              </a:defRPr>
            </a:pPr>
            <a:endParaRPr lang="fr-FR"/>
          </a:p>
        </c:txPr>
        <c:crossAx val="97605120"/>
        <c:crosses val="autoZero"/>
        <c:crossBetween val="between"/>
        <c:majorUnit val="1"/>
      </c:valAx>
      <c:spPr>
        <a:solidFill>
          <a:srgbClr val="E3E3E3"/>
        </a:solidFill>
        <a:ln w="12700">
          <a:solidFill>
            <a:srgbClr val="E3E3E3"/>
          </a:solidFill>
          <a:prstDash val="solid"/>
        </a:ln>
      </c:spPr>
    </c:plotArea>
    <c:plotVisOnly val="1"/>
    <c:dispBlanksAs val="gap"/>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2"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575" b="1" i="0" u="none" strike="noStrike" baseline="0">
                <a:solidFill>
                  <a:srgbClr val="000000"/>
                </a:solidFill>
                <a:latin typeface="Arial"/>
                <a:ea typeface="Arial"/>
                <a:cs typeface="Arial"/>
              </a:defRPr>
            </a:pPr>
            <a:r>
              <a:rPr lang="fr-FR"/>
              <a:t>Temps à chaque kilomètre</a:t>
            </a:r>
          </a:p>
        </c:rich>
      </c:tx>
      <c:layout>
        <c:manualLayout>
          <c:xMode val="edge"/>
          <c:yMode val="edge"/>
          <c:x val="0.28526171044048265"/>
          <c:y val="3.1941031941031942E-2"/>
        </c:manualLayout>
      </c:layout>
      <c:spPr>
        <a:noFill/>
        <a:ln w="25400">
          <a:noFill/>
        </a:ln>
      </c:spPr>
    </c:title>
    <c:plotArea>
      <c:layout>
        <c:manualLayout>
          <c:layoutTarget val="inner"/>
          <c:xMode val="edge"/>
          <c:yMode val="edge"/>
          <c:x val="0.17432660082473939"/>
          <c:y val="0.19901719901719903"/>
          <c:w val="0.80348715107402613"/>
          <c:h val="0.60442260442260443"/>
        </c:manualLayout>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0"/>
              <c:pt idx="0">
                <c:v>2.9050925925925928E-3</c:v>
              </c:pt>
              <c:pt idx="1">
                <c:v>2.9976851851851848E-3</c:v>
              </c:pt>
              <c:pt idx="2">
                <c:v>3.2754629629629627E-3</c:v>
              </c:pt>
              <c:pt idx="3">
                <c:v>3.2870370370370362E-3</c:v>
              </c:pt>
              <c:pt idx="4">
                <c:v>3.2523148148148155E-3</c:v>
              </c:pt>
              <c:pt idx="5">
                <c:v>3.2060185185185178E-3</c:v>
              </c:pt>
              <c:pt idx="6">
                <c:v>3.2870370370370397E-3</c:v>
              </c:pt>
              <c:pt idx="7">
                <c:v>3.2870370370370397E-3</c:v>
              </c:pt>
              <c:pt idx="8">
                <c:v>3.2060185185185143E-3</c:v>
              </c:pt>
              <c:pt idx="9">
                <c:v>3.2986111111111133E-3</c:v>
              </c:pt>
            </c:numLit>
          </c:val>
        </c:ser>
        <c:marker val="1"/>
        <c:axId val="104587648"/>
        <c:axId val="104589952"/>
      </c:lineChart>
      <c:catAx>
        <c:axId val="104587648"/>
        <c:scaling>
          <c:orientation val="minMax"/>
        </c:scaling>
        <c:axPos val="b"/>
        <c:title>
          <c:tx>
            <c:rich>
              <a:bodyPr/>
              <a:lstStyle/>
              <a:p>
                <a:pPr>
                  <a:defRPr sz="1175" b="1" i="0" u="none" strike="noStrike" baseline="0">
                    <a:solidFill>
                      <a:srgbClr val="000000"/>
                    </a:solidFill>
                    <a:latin typeface="Arial"/>
                    <a:ea typeface="Arial"/>
                    <a:cs typeface="Arial"/>
                  </a:defRPr>
                </a:pPr>
                <a:r>
                  <a:rPr lang="fr-FR"/>
                  <a:t>Kilomètres</a:t>
                </a:r>
              </a:p>
            </c:rich>
          </c:tx>
          <c:layout>
            <c:manualLayout>
              <c:xMode val="edge"/>
              <c:yMode val="edge"/>
              <c:x val="0.50554714239174425"/>
              <c:y val="0.89189189189189189"/>
            </c:manualLayout>
          </c:layout>
          <c:spPr>
            <a:noFill/>
            <a:ln w="25400">
              <a:noFill/>
            </a:ln>
          </c:spPr>
        </c:title>
        <c:numFmt formatCode="General"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104589952"/>
        <c:crosses val="autoZero"/>
        <c:auto val="1"/>
        <c:lblAlgn val="ctr"/>
        <c:lblOffset val="100"/>
        <c:tickLblSkip val="1"/>
        <c:tickMarkSkip val="1"/>
      </c:catAx>
      <c:valAx>
        <c:axId val="104589952"/>
        <c:scaling>
          <c:orientation val="minMax"/>
        </c:scaling>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fr-FR"/>
                  <a:t>Temps en minutes, sec</a:t>
                </a:r>
              </a:p>
            </c:rich>
          </c:tx>
          <c:layout>
            <c:manualLayout>
              <c:xMode val="edge"/>
              <c:yMode val="edge"/>
              <c:x val="2.5356596483598458E-2"/>
              <c:y val="0.28009828009828008"/>
            </c:manualLayout>
          </c:layout>
          <c:spPr>
            <a:noFill/>
            <a:ln w="25400">
              <a:noFill/>
            </a:ln>
          </c:spPr>
        </c:title>
        <c:numFmt formatCode="General"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104587648"/>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0" verticalDpi="0"/>
  </c:printSettings>
</c:chartSpace>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28575</xdr:rowOff>
    </xdr:from>
    <xdr:to>
      <xdr:col>7</xdr:col>
      <xdr:colOff>0</xdr:colOff>
      <xdr:row>45</xdr:row>
      <xdr:rowOff>76200</xdr:rowOff>
    </xdr:to>
    <xdr:sp macro="" textlink="">
      <xdr:nvSpPr>
        <xdr:cNvPr id="9217" name="Text Box 1"/>
        <xdr:cNvSpPr txBox="1">
          <a:spLocks noChangeArrowheads="1"/>
        </xdr:cNvSpPr>
      </xdr:nvSpPr>
      <xdr:spPr bwMode="auto">
        <a:xfrm>
          <a:off x="47625" y="228600"/>
          <a:ext cx="5819775" cy="884872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fr-FR" sz="1200" b="0" i="0" u="none" strike="noStrike" baseline="0">
              <a:solidFill>
                <a:srgbClr val="000000"/>
              </a:solidFill>
              <a:latin typeface="Times New Roman"/>
              <a:cs typeface="Times New Roman"/>
            </a:rPr>
            <a:t>                                                             </a:t>
          </a:r>
          <a:r>
            <a:rPr lang="fr-FR" sz="1200" b="1" i="0" u="sng" strike="noStrike" baseline="0">
              <a:solidFill>
                <a:srgbClr val="0000FF"/>
              </a:solidFill>
              <a:latin typeface="Times New Roman"/>
              <a:cs typeface="Times New Roman"/>
            </a:rPr>
            <a:t>VAMEVAL</a:t>
          </a: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                                                       (CAZORLA 1990)</a:t>
          </a:r>
        </a:p>
        <a:p>
          <a:pPr algn="l" rtl="0">
            <a:defRPr sz="1000"/>
          </a:pPr>
          <a:r>
            <a:rPr lang="fr-FR" sz="1200" b="0" i="0" u="none" strike="noStrike" baseline="0">
              <a:solidFill>
                <a:srgbClr val="000000"/>
              </a:solidFill>
              <a:latin typeface="Times New Roman"/>
              <a:cs typeface="Times New Roman"/>
            </a:rPr>
            <a:t>Palier d’une minute – vitesse d’incrément 0,5 km/h par palier – intervalles des bips sonores : 20 mètres . </a:t>
          </a:r>
        </a:p>
        <a:p>
          <a:pPr algn="l" rtl="0">
            <a:defRPr sz="1000"/>
          </a:pPr>
          <a:r>
            <a:rPr lang="fr-FR" sz="1200" b="0" i="0" u="none" strike="noStrike" baseline="0">
              <a:solidFill>
                <a:srgbClr val="000000"/>
              </a:solidFill>
              <a:latin typeface="Times New Roman"/>
              <a:cs typeface="Times New Roman"/>
            </a:rPr>
            <a:t>La vitesse d’incrément de 0,5 km/h toutes les minutes permet une intensité mieux modulée : meilleure adaptation et vitesse maximale aérobie (VMA) plus proche de la réalité.</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1" i="0" u="sng" strike="noStrike" baseline="0">
              <a:solidFill>
                <a:srgbClr val="FF0000"/>
              </a:solidFill>
              <a:latin typeface="Times New Roman"/>
              <a:cs typeface="Times New Roman"/>
            </a:rPr>
            <a:t>BUT DU VAMEVAL : </a:t>
          </a: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Evaluer la consommation maximale d’oxygène (VO2max) et la vitesse aérobie maximale (VMA).</a:t>
          </a:r>
        </a:p>
        <a:p>
          <a:pPr algn="l" rtl="0">
            <a:defRPr sz="1000"/>
          </a:pPr>
          <a:r>
            <a:rPr lang="fr-FR" sz="1200" b="1" i="0" u="sng" strike="noStrike" baseline="0">
              <a:solidFill>
                <a:srgbClr val="FF0000"/>
              </a:solidFill>
              <a:latin typeface="Times New Roman"/>
              <a:cs typeface="Times New Roman"/>
            </a:rPr>
            <a:t>ESPACES ET MATERIELS NECESSAIRES :</a:t>
          </a: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Piste minimale de 200 m et multiple de 20 mètres sur laquelle des plots repères sont placés tous les 20 mètres.</a:t>
          </a:r>
        </a:p>
        <a:p>
          <a:pPr algn="l" rtl="0">
            <a:defRPr sz="1000"/>
          </a:pPr>
          <a:r>
            <a:rPr lang="fr-FR" sz="1200" b="0" i="0" u="none" strike="noStrike" baseline="0">
              <a:solidFill>
                <a:srgbClr val="000000"/>
              </a:solidFill>
              <a:latin typeface="Times New Roman"/>
              <a:cs typeface="Times New Roman"/>
            </a:rPr>
            <a:t>Magnétophone étalonné (vérifiez l’exactitude de la minute étalon du test avec un chronomètre). En cas de différence, utilisez la formule suivante :</a:t>
          </a:r>
        </a:p>
        <a:p>
          <a:pPr algn="l" rtl="0">
            <a:defRPr sz="1000"/>
          </a:pPr>
          <a:r>
            <a:rPr lang="fr-FR" sz="1200" b="1" i="0" u="sng" strike="noStrike" baseline="0">
              <a:solidFill>
                <a:srgbClr val="000000"/>
              </a:solidFill>
              <a:latin typeface="Times New Roman"/>
              <a:cs typeface="Times New Roman"/>
            </a:rPr>
            <a:t>Vitesse corrigée</a:t>
          </a:r>
          <a:r>
            <a:rPr lang="fr-FR" sz="1200" b="1" i="0" u="none" strike="noStrike" baseline="0">
              <a:solidFill>
                <a:srgbClr val="000000"/>
              </a:solidFill>
              <a:latin typeface="Times New Roman"/>
              <a:cs typeface="Times New Roman"/>
            </a:rPr>
            <a:t> </a:t>
          </a:r>
          <a:r>
            <a:rPr lang="fr-FR" sz="1200" b="0" i="0" u="none" strike="noStrike" baseline="0">
              <a:solidFill>
                <a:srgbClr val="000000"/>
              </a:solidFill>
              <a:latin typeface="Times New Roman"/>
              <a:cs typeface="Times New Roman"/>
            </a:rPr>
            <a:t>: (Vitesse annoncée en fin de test X 60 ) / Durée réelle chronométrée de la minute étalon en sec.</a:t>
          </a:r>
        </a:p>
        <a:p>
          <a:pPr algn="l" rtl="0">
            <a:defRPr sz="1000"/>
          </a:pPr>
          <a:r>
            <a:rPr lang="fr-FR" sz="1200" b="0" i="0" u="none" strike="noStrike" baseline="0">
              <a:solidFill>
                <a:srgbClr val="000000"/>
              </a:solidFill>
              <a:latin typeface="Times New Roman"/>
              <a:cs typeface="Times New Roman"/>
            </a:rPr>
            <a:t>Utilisez un amplificateur ou à défaut un coup de sifflet pour une épreuve collective.</a:t>
          </a:r>
        </a:p>
        <a:p>
          <a:pPr algn="l" rtl="0">
            <a:defRPr sz="1000"/>
          </a:pPr>
          <a:r>
            <a:rPr lang="fr-FR" sz="1200" b="0" i="0" u="none" strike="noStrike" baseline="0">
              <a:solidFill>
                <a:srgbClr val="000000"/>
              </a:solidFill>
              <a:latin typeface="Times New Roman"/>
              <a:cs typeface="Times New Roman"/>
            </a:rPr>
            <a:t>Individuellement un baladeur peut suffire.</a:t>
          </a:r>
        </a:p>
        <a:p>
          <a:pPr algn="l" rtl="0">
            <a:defRPr sz="1000"/>
          </a:pPr>
          <a:r>
            <a:rPr lang="fr-FR" sz="1200" b="0" i="0" u="none" strike="noStrike" baseline="0">
              <a:solidFill>
                <a:srgbClr val="000000"/>
              </a:solidFill>
              <a:latin typeface="Times New Roman"/>
              <a:cs typeface="Times New Roman"/>
            </a:rPr>
            <a:t>Pour plus de précision, utilisez un cardio-fréquence mètre avec mémorisation de la F.C  toutes les minutes et en fin de test.</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1" i="0" u="sng" strike="noStrike" baseline="0">
              <a:solidFill>
                <a:srgbClr val="FF0000"/>
              </a:solidFill>
              <a:latin typeface="Times New Roman"/>
              <a:cs typeface="Times New Roman"/>
            </a:rPr>
            <a:t>DEROULEMENT DE L’EPREUVE </a:t>
          </a:r>
          <a:endParaRPr lang="fr-FR" sz="1200" b="0" i="0" u="none" strike="noStrike" baseline="0">
            <a:solidFill>
              <a:srgbClr val="000000"/>
            </a:solidFill>
            <a:latin typeface="Times New Roman"/>
            <a:cs typeface="Times New Roman"/>
          </a:endParaRPr>
        </a:p>
        <a:p>
          <a:pPr algn="l" rtl="0">
            <a:defRPr sz="1000"/>
          </a:pPr>
          <a:r>
            <a:rPr lang="fr-FR" sz="1200" b="1" i="0" u="none" strike="noStrike" baseline="0">
              <a:solidFill>
                <a:srgbClr val="000000"/>
              </a:solidFill>
              <a:latin typeface="Times New Roman"/>
              <a:cs typeface="Times New Roman"/>
            </a:rPr>
            <a:t>15 minutes d'échauffement</a:t>
          </a:r>
          <a:r>
            <a:rPr lang="fr-FR" sz="1200" b="0" i="0" u="none" strike="noStrike" baseline="0">
              <a:solidFill>
                <a:srgbClr val="000000"/>
              </a:solidFill>
              <a:latin typeface="Times New Roman"/>
              <a:cs typeface="Times New Roman"/>
            </a:rPr>
            <a:t> avant le test est requis.</a:t>
          </a:r>
        </a:p>
        <a:p>
          <a:pPr algn="l" rtl="0">
            <a:defRPr sz="1000"/>
          </a:pPr>
          <a:r>
            <a:rPr lang="fr-FR" sz="1200" b="0" i="0" u="none" strike="noStrike" baseline="0">
              <a:solidFill>
                <a:srgbClr val="000000"/>
              </a:solidFill>
              <a:latin typeface="Times New Roman"/>
              <a:cs typeface="Times New Roman"/>
            </a:rPr>
            <a:t>Les vitesses de course sont réglées au moyen d'une bande sonore (cassette VAMEVAL pré-enregistrée disponible : Cabinet de Recherche et d'Expertise en Sport et Santé - 250 Cours de l'Argonne. 33 000 Bordeaux. - Tel: 05 56 31 28 18  - Télécopie : 05 56 92 20 67 - Email : cress.ste@wanadoo.fr) émettant des sons à intervalles calculés. A chaque « bip » vous devez ajuster vous-même votre vitesse en vous retrouvant exactement au niveau d'une des bornes repères placées tous les vingt mètres sur une piste de deux cent mètres minimum et multiple de vingt mètres. </a:t>
          </a:r>
          <a:r>
            <a:rPr lang="fr-FR" sz="1200" b="1" i="0" u="none" strike="noStrike" baseline="0">
              <a:solidFill>
                <a:srgbClr val="000000"/>
              </a:solidFill>
              <a:latin typeface="Times New Roman"/>
              <a:cs typeface="Times New Roman"/>
            </a:rPr>
            <a:t>Une précision de plus ou moins deux mètres est suffisante</a:t>
          </a:r>
          <a:r>
            <a:rPr lang="fr-FR" sz="1200" b="0" i="0" u="none" strike="noStrike" baseline="0">
              <a:solidFill>
                <a:srgbClr val="000000"/>
              </a:solidFill>
              <a:latin typeface="Times New Roman"/>
              <a:cs typeface="Times New Roman"/>
            </a:rPr>
            <a:t>. Cet ajustement est facilement réalisable après un ou deux tours. Deux minutes placées au début de l'enregistrement de l'épreuve, permettent de vous adapter a la vitesse imposée. Efforcez-vous alors de suivre le rythme imposé le plus longtemps possible. </a:t>
          </a:r>
        </a:p>
        <a:p>
          <a:pPr algn="l" rtl="0">
            <a:defRPr sz="1000"/>
          </a:pPr>
          <a:r>
            <a:rPr lang="fr-FR" sz="1200" b="0" i="0" u="none" strike="noStrike" baseline="0">
              <a:solidFill>
                <a:srgbClr val="000000"/>
              </a:solidFill>
              <a:latin typeface="Times New Roman"/>
              <a:cs typeface="Times New Roman"/>
            </a:rPr>
            <a:t>Arrêtez-vous dès que vous pensez ne plus pouvoir courir plus vite ou bien qu'il vous est impossible de terminer le palier en cours. Retenez alors le numéro du dernier palier annoncé ainsi que la durée annoncée dans ce palier. </a:t>
          </a:r>
          <a:r>
            <a:rPr lang="fr-FR" sz="1200" b="1" i="0" u="sng" strike="noStrike" baseline="0">
              <a:solidFill>
                <a:srgbClr val="000000"/>
              </a:solidFill>
              <a:latin typeface="Times New Roman"/>
              <a:cs typeface="Times New Roman"/>
            </a:rPr>
            <a:t>Notez votre FC 5 minutes après la fin du test</a:t>
          </a:r>
          <a:r>
            <a:rPr lang="fr-FR" sz="1200" b="0" i="0" u="none" strike="noStrike" baseline="0">
              <a:solidFill>
                <a:srgbClr val="000000"/>
              </a:solidFill>
              <a:latin typeface="Times New Roman"/>
              <a:cs typeface="Times New Roman"/>
            </a:rPr>
            <a:t>.</a:t>
          </a:r>
        </a:p>
        <a:p>
          <a:pPr algn="l" rtl="0">
            <a:defRPr sz="1000"/>
          </a:pPr>
          <a:r>
            <a:rPr lang="fr-FR" sz="1200" b="1" i="0" u="sng" strike="noStrike" baseline="0">
              <a:solidFill>
                <a:srgbClr val="FF0000"/>
              </a:solidFill>
              <a:latin typeface="Times New Roman"/>
              <a:cs typeface="Times New Roman"/>
            </a:rPr>
            <a:t>RECOMMANDATIONS</a:t>
          </a:r>
          <a:r>
            <a:rPr lang="fr-FR" sz="1200" b="0" i="0" u="none" strike="noStrike" baseline="0">
              <a:solidFill>
                <a:srgbClr val="000000"/>
              </a:solidFill>
              <a:latin typeface="Times New Roman"/>
              <a:cs typeface="Times New Roman"/>
            </a:rPr>
            <a:t>: </a:t>
          </a:r>
        </a:p>
        <a:p>
          <a:pPr algn="l" rtl="0">
            <a:defRPr sz="1000"/>
          </a:pPr>
          <a:r>
            <a:rPr lang="fr-FR" sz="1200" b="0" i="0" u="none" strike="noStrike" baseline="0">
              <a:solidFill>
                <a:srgbClr val="000000"/>
              </a:solidFill>
              <a:latin typeface="Times New Roman"/>
              <a:cs typeface="Times New Roman"/>
            </a:rPr>
            <a:t>Pour les débutants  : Commencez l'épreuve dès le début du premier palier ce qui correspond à une très faible vitesse, à la limite entre la marche et la course. Ensuite la vitesse augmente de 0.5 km/h toutes les minutes. </a:t>
          </a:r>
        </a:p>
        <a:p>
          <a:pPr algn="l" rtl="0">
            <a:defRPr sz="1000"/>
          </a:pPr>
          <a:r>
            <a:rPr lang="fr-FR" sz="1200" b="0" i="0" u="none" strike="noStrike" baseline="0">
              <a:solidFill>
                <a:srgbClr val="000000"/>
              </a:solidFill>
              <a:latin typeface="Times New Roman"/>
              <a:cs typeface="Times New Roman"/>
            </a:rPr>
            <a:t>Pour les sportifs autres que les coureurs de demi-fond ou de fond: Débutez l'épreuve au palier 2, c'est à dire à 9 km/h.</a:t>
          </a:r>
        </a:p>
        <a:p>
          <a:pPr algn="l" rtl="0">
            <a:defRPr sz="1000"/>
          </a:pPr>
          <a:r>
            <a:rPr lang="fr-FR" sz="1200" b="0" i="0" u="none" strike="noStrike" baseline="0">
              <a:solidFill>
                <a:srgbClr val="000000"/>
              </a:solidFill>
              <a:latin typeface="Times New Roman"/>
              <a:cs typeface="Times New Roman"/>
            </a:rPr>
            <a:t>Pour les spécialistes d'épreuves de longue durée (coureurs de demi-fond, de fond, triathlètes, duathlètes...) : Débutez l'épreuve au palier 4 ou 8, c'est à dire à 10 ou à 12 km</a:t>
          </a:r>
        </a:p>
        <a:p>
          <a:pPr algn="l" rtl="0">
            <a:defRPr sz="1000"/>
          </a:pPr>
          <a:endParaRPr lang="fr-FR" sz="1200" b="0" i="0" u="none" strike="noStrike" baseline="0">
            <a:solidFill>
              <a:srgbClr val="000000"/>
            </a:solidFill>
            <a:latin typeface="Times New Roman"/>
            <a:cs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104775</xdr:colOff>
      <xdr:row>0</xdr:row>
      <xdr:rowOff>0</xdr:rowOff>
    </xdr:from>
    <xdr:to>
      <xdr:col>11</xdr:col>
      <xdr:colOff>0</xdr:colOff>
      <xdr:row>0</xdr:row>
      <xdr:rowOff>0</xdr:rowOff>
    </xdr:to>
    <xdr:sp macro="" textlink="">
      <xdr:nvSpPr>
        <xdr:cNvPr id="29697" name="Text Box 1"/>
        <xdr:cNvSpPr txBox="1">
          <a:spLocks noChangeArrowheads="1"/>
        </xdr:cNvSpPr>
      </xdr:nvSpPr>
      <xdr:spPr bwMode="auto">
        <a:xfrm>
          <a:off x="104775" y="0"/>
          <a:ext cx="9658350" cy="0"/>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fr-FR" sz="1600" b="1" i="0" u="none" strike="noStrike" baseline="0">
              <a:solidFill>
                <a:srgbClr val="000000"/>
              </a:solidFill>
              <a:latin typeface="Times New Roman"/>
              <a:cs typeface="Times New Roman"/>
            </a:rPr>
            <a:t>10 Km pour un athlète avec une </a:t>
          </a:r>
          <a:r>
            <a:rPr lang="fr-FR" sz="1200" b="0" i="0" u="none" strike="noStrike" baseline="0">
              <a:solidFill>
                <a:srgbClr val="000000"/>
              </a:solidFill>
              <a:latin typeface="Times New Roman"/>
              <a:cs typeface="Times New Roman"/>
            </a:rPr>
            <a:t>: </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1" i="0" u="none" strike="noStrike" baseline="0">
              <a:solidFill>
                <a:srgbClr val="FF0000"/>
              </a:solidFill>
              <a:latin typeface="Times New Roman"/>
              <a:cs typeface="Times New Roman"/>
            </a:rPr>
            <a:t>VMA de 16,36 km - FC max de 177 puls/min -seuil anaérobie 87 %de la VMA</a:t>
          </a:r>
          <a:endParaRPr lang="fr-FR" sz="1200" b="0" i="0" u="none" strike="noStrike" baseline="0">
            <a:solidFill>
              <a:srgbClr val="000000"/>
            </a:solidFill>
            <a:latin typeface="Times New Roman"/>
            <a:cs typeface="Times New Roman"/>
          </a:endParaRP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FF"/>
              </a:solidFill>
              <a:latin typeface="Times New Roman"/>
              <a:cs typeface="Times New Roman"/>
            </a:rPr>
            <a:t>1 mois dominante Capacité aérobie </a:t>
          </a:r>
        </a:p>
        <a:p>
          <a:pPr algn="l" rtl="0">
            <a:defRPr sz="1000"/>
          </a:pPr>
          <a:endParaRPr lang="fr-FR" sz="1200" b="0" i="0" u="none" strike="noStrike" baseline="0">
            <a:solidFill>
              <a:srgbClr val="0000FF"/>
            </a:solidFill>
            <a:latin typeface="Times New Roman"/>
            <a:cs typeface="Times New Roman"/>
          </a:endParaRPr>
        </a:p>
        <a:p>
          <a:pPr algn="l" rtl="0">
            <a:defRPr sz="1000"/>
          </a:pPr>
          <a:endParaRPr lang="fr-FR" sz="1200" b="0" i="0" u="none" strike="noStrike" baseline="0">
            <a:solidFill>
              <a:srgbClr val="000000"/>
            </a:solidFill>
            <a:latin typeface="Times New Roman"/>
            <a:cs typeface="Times New Roman"/>
          </a:endParaRP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1er cycle Semaine 2 semaine 2 semaine 3 semaine 4</a:t>
          </a:r>
        </a:p>
        <a:p>
          <a:pPr algn="l" rtl="0">
            <a:defRPr sz="1000"/>
          </a:pPr>
          <a:r>
            <a:rPr lang="fr-FR" sz="1200" b="0" i="0" u="none" strike="noStrike" baseline="0">
              <a:solidFill>
                <a:srgbClr val="000000"/>
              </a:solidFill>
              <a:latin typeface="Times New Roman"/>
              <a:cs typeface="Times New Roman"/>
            </a:rPr>
            <a:t>S1 capacité aérobie récupération récupération récupération</a:t>
          </a:r>
        </a:p>
        <a:p>
          <a:pPr algn="l" rtl="0">
            <a:defRPr sz="1000"/>
          </a:pPr>
          <a:r>
            <a:rPr lang="fr-FR" sz="1200" b="0" i="0" u="none" strike="noStrike" baseline="0">
              <a:solidFill>
                <a:srgbClr val="000000"/>
              </a:solidFill>
              <a:latin typeface="Times New Roman"/>
              <a:cs typeface="Times New Roman"/>
            </a:rPr>
            <a:t>S2 récupération capacité aérobie capacité aérobie VMA</a:t>
          </a:r>
        </a:p>
        <a:p>
          <a:pPr algn="l" rtl="0">
            <a:defRPr sz="1000"/>
          </a:pPr>
          <a:r>
            <a:rPr lang="fr-FR" sz="1200" b="0" i="0" u="none" strike="noStrike" baseline="0">
              <a:solidFill>
                <a:srgbClr val="000000"/>
              </a:solidFill>
              <a:latin typeface="Times New Roman"/>
              <a:cs typeface="Times New Roman"/>
            </a:rPr>
            <a:t>S3 capacité aérobie récupération récupération récupération</a:t>
          </a:r>
        </a:p>
        <a:p>
          <a:pPr algn="l" rtl="0">
            <a:defRPr sz="1000"/>
          </a:pPr>
          <a:r>
            <a:rPr lang="fr-FR" sz="1200" b="0" i="0" u="none" strike="noStrike" baseline="0">
              <a:solidFill>
                <a:srgbClr val="000000"/>
              </a:solidFill>
              <a:latin typeface="Times New Roman"/>
              <a:cs typeface="Times New Roman"/>
            </a:rPr>
            <a:t>S4 Entretien Entretien VMA capacité aérobie</a:t>
          </a:r>
        </a:p>
        <a:p>
          <a:pPr algn="l" rtl="0">
            <a:defRPr sz="1000"/>
          </a:pPr>
          <a:r>
            <a:rPr lang="fr-FR" sz="1200" b="0" i="0" u="none" strike="noStrike" baseline="0">
              <a:solidFill>
                <a:srgbClr val="000000"/>
              </a:solidFill>
              <a:latin typeface="Times New Roman"/>
              <a:cs typeface="Times New Roman"/>
            </a:rPr>
            <a:t>S5 capacité aérobie capacité aérobie récupération récupération</a:t>
          </a:r>
        </a:p>
        <a:p>
          <a:pPr algn="l" rtl="0">
            <a:defRPr sz="1000"/>
          </a:pPr>
          <a:endParaRPr lang="fr-FR" sz="1200" b="0" i="0" u="none" strike="noStrike" baseline="0">
            <a:solidFill>
              <a:srgbClr val="000000"/>
            </a:solidFill>
            <a:latin typeface="Times New Roman"/>
            <a:cs typeface="Times New Roman"/>
          </a:endParaRP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FF"/>
              </a:solidFill>
              <a:latin typeface="Times New Roman"/>
              <a:cs typeface="Times New Roman"/>
            </a:rPr>
            <a:t>2 mois dominante VMA :</a:t>
          </a:r>
          <a:endParaRPr lang="fr-FR" sz="1200" b="0" i="0" u="none" strike="noStrike" baseline="0">
            <a:solidFill>
              <a:srgbClr val="000000"/>
            </a:solidFill>
            <a:latin typeface="Times New Roman"/>
            <a:cs typeface="Times New Roman"/>
          </a:endParaRP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1er cycle Semaine 2 semaine 2 semaine 3 semaine 4</a:t>
          </a:r>
        </a:p>
        <a:p>
          <a:pPr algn="l" rtl="0">
            <a:defRPr sz="1000"/>
          </a:pPr>
          <a:r>
            <a:rPr lang="fr-FR" sz="1200" b="0" i="0" u="none" strike="noStrike" baseline="0">
              <a:solidFill>
                <a:srgbClr val="000000"/>
              </a:solidFill>
              <a:latin typeface="Times New Roman"/>
              <a:cs typeface="Times New Roman"/>
            </a:rPr>
            <a:t>S1 récupération récupération récupération récupération</a:t>
          </a:r>
        </a:p>
        <a:p>
          <a:pPr algn="l" rtl="0">
            <a:defRPr sz="1000"/>
          </a:pPr>
          <a:r>
            <a:rPr lang="fr-FR" sz="1200" b="0" i="0" u="none" strike="noStrike" baseline="0">
              <a:solidFill>
                <a:srgbClr val="000000"/>
              </a:solidFill>
              <a:latin typeface="Times New Roman"/>
              <a:cs typeface="Times New Roman"/>
            </a:rPr>
            <a:t>S2 VMA VMA VMA VMA</a:t>
          </a:r>
        </a:p>
        <a:p>
          <a:pPr algn="l" rtl="0">
            <a:defRPr sz="1000"/>
          </a:pPr>
          <a:r>
            <a:rPr lang="fr-FR" sz="1200" b="0" i="0" u="none" strike="noStrike" baseline="0">
              <a:solidFill>
                <a:srgbClr val="000000"/>
              </a:solidFill>
              <a:latin typeface="Times New Roman"/>
              <a:cs typeface="Times New Roman"/>
            </a:rPr>
            <a:t>S3 récupération récupération récupération récupération</a:t>
          </a:r>
        </a:p>
        <a:p>
          <a:pPr algn="l" rtl="0">
            <a:defRPr sz="1000"/>
          </a:pPr>
          <a:r>
            <a:rPr lang="fr-FR" sz="1200" b="0" i="0" u="none" strike="noStrike" baseline="0">
              <a:solidFill>
                <a:srgbClr val="000000"/>
              </a:solidFill>
              <a:latin typeface="Times New Roman"/>
              <a:cs typeface="Times New Roman"/>
            </a:rPr>
            <a:t>S4 Entretien Entretien VMA récupération</a:t>
          </a:r>
        </a:p>
        <a:p>
          <a:pPr algn="l" rtl="0">
            <a:defRPr sz="1000"/>
          </a:pPr>
          <a:r>
            <a:rPr lang="fr-FR" sz="1200" b="0" i="0" u="none" strike="noStrike" baseline="0">
              <a:solidFill>
                <a:srgbClr val="000000"/>
              </a:solidFill>
              <a:latin typeface="Times New Roman"/>
              <a:cs typeface="Times New Roman"/>
            </a:rPr>
            <a:t>S5 Récupération récupération récupération récupération</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1er cycle Semaine 2 semaine 2 semaine 3 semaine 4</a:t>
          </a:r>
        </a:p>
        <a:p>
          <a:pPr algn="l" rtl="0">
            <a:defRPr sz="1000"/>
          </a:pPr>
          <a:r>
            <a:rPr lang="fr-FR" sz="1200" b="0" i="0" u="none" strike="noStrike" baseline="0">
              <a:solidFill>
                <a:srgbClr val="000000"/>
              </a:solidFill>
              <a:latin typeface="Times New Roman"/>
              <a:cs typeface="Times New Roman"/>
            </a:rPr>
            <a:t>S1 récupération récupération récupération récupération</a:t>
          </a:r>
        </a:p>
        <a:p>
          <a:pPr algn="l" rtl="0">
            <a:defRPr sz="1000"/>
          </a:pPr>
          <a:r>
            <a:rPr lang="fr-FR" sz="1200" b="0" i="0" u="none" strike="noStrike" baseline="0">
              <a:solidFill>
                <a:srgbClr val="000000"/>
              </a:solidFill>
              <a:latin typeface="Times New Roman"/>
              <a:cs typeface="Times New Roman"/>
            </a:rPr>
            <a:t>S2 VMA VMA VMA seuil anaérobie</a:t>
          </a:r>
        </a:p>
        <a:p>
          <a:pPr algn="l" rtl="0">
            <a:defRPr sz="1000"/>
          </a:pPr>
          <a:r>
            <a:rPr lang="fr-FR" sz="1200" b="0" i="0" u="none" strike="noStrike" baseline="0">
              <a:solidFill>
                <a:srgbClr val="000000"/>
              </a:solidFill>
              <a:latin typeface="Times New Roman"/>
              <a:cs typeface="Times New Roman"/>
            </a:rPr>
            <a:t>S3 récupération récupération récupération récupération</a:t>
          </a:r>
        </a:p>
        <a:p>
          <a:pPr algn="l" rtl="0">
            <a:defRPr sz="1000"/>
          </a:pPr>
          <a:r>
            <a:rPr lang="fr-FR" sz="1200" b="0" i="0" u="none" strike="noStrike" baseline="0">
              <a:solidFill>
                <a:srgbClr val="000000"/>
              </a:solidFill>
              <a:latin typeface="Times New Roman"/>
              <a:cs typeface="Times New Roman"/>
            </a:rPr>
            <a:t>S4 Entretien Entretien Entretien Entretien</a:t>
          </a:r>
        </a:p>
        <a:p>
          <a:pPr algn="l" rtl="0">
            <a:defRPr sz="1000"/>
          </a:pPr>
          <a:r>
            <a:rPr lang="fr-FR" sz="1200" b="0" i="0" u="none" strike="noStrike" baseline="0">
              <a:solidFill>
                <a:srgbClr val="000000"/>
              </a:solidFill>
              <a:latin typeface="Times New Roman"/>
              <a:cs typeface="Times New Roman"/>
            </a:rPr>
            <a:t>S5 VMA seuil anaérobie seuil anaérobie récupération</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1 mois dominante seuil anaérobie</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1er cycle Semaine 2 semaine 2 semaine 3 semaine 4</a:t>
          </a:r>
        </a:p>
        <a:p>
          <a:pPr algn="l" rtl="0">
            <a:defRPr sz="1000"/>
          </a:pPr>
          <a:r>
            <a:rPr lang="fr-FR" sz="1200" b="0" i="0" u="none" strike="noStrike" baseline="0">
              <a:solidFill>
                <a:srgbClr val="000000"/>
              </a:solidFill>
              <a:latin typeface="Times New Roman"/>
              <a:cs typeface="Times New Roman"/>
            </a:rPr>
            <a:t>S1 seuil anaérobie seuil anaérobie seuil anaérobie seuil anaérobie</a:t>
          </a:r>
        </a:p>
        <a:p>
          <a:pPr algn="l" rtl="0">
            <a:defRPr sz="1000"/>
          </a:pPr>
          <a:r>
            <a:rPr lang="fr-FR" sz="1200" b="0" i="0" u="none" strike="noStrike" baseline="0">
              <a:solidFill>
                <a:srgbClr val="000000"/>
              </a:solidFill>
              <a:latin typeface="Times New Roman"/>
              <a:cs typeface="Times New Roman"/>
            </a:rPr>
            <a:t>S2 récupération récupération récupération Entretien</a:t>
          </a:r>
        </a:p>
        <a:p>
          <a:pPr algn="l" rtl="0">
            <a:defRPr sz="1000"/>
          </a:pPr>
          <a:r>
            <a:rPr lang="fr-FR" sz="1200" b="0" i="0" u="none" strike="noStrike" baseline="0">
              <a:solidFill>
                <a:srgbClr val="000000"/>
              </a:solidFill>
              <a:latin typeface="Times New Roman"/>
              <a:cs typeface="Times New Roman"/>
            </a:rPr>
            <a:t>S3 seuil anaérobie Entretien seuil anaérobie récupération</a:t>
          </a:r>
        </a:p>
        <a:p>
          <a:pPr algn="l" rtl="0">
            <a:defRPr sz="1000"/>
          </a:pPr>
          <a:r>
            <a:rPr lang="fr-FR" sz="1200" b="0" i="0" u="none" strike="noStrike" baseline="0">
              <a:solidFill>
                <a:srgbClr val="000000"/>
              </a:solidFill>
              <a:latin typeface="Times New Roman"/>
              <a:cs typeface="Times New Roman"/>
            </a:rPr>
            <a:t>S4 récupération récupération récupération Entretien</a:t>
          </a:r>
        </a:p>
        <a:p>
          <a:pPr algn="l" rtl="0">
            <a:defRPr sz="1000"/>
          </a:pPr>
          <a:r>
            <a:rPr lang="fr-FR" sz="1200" b="0" i="0" u="none" strike="noStrike" baseline="0">
              <a:solidFill>
                <a:srgbClr val="000000"/>
              </a:solidFill>
              <a:latin typeface="Times New Roman"/>
              <a:cs typeface="Times New Roman"/>
            </a:rPr>
            <a:t>S5 VMA seuil anaérobie VMA seuil anaérobie</a:t>
          </a:r>
        </a:p>
        <a:p>
          <a:pPr algn="l" rtl="0">
            <a:defRPr sz="1000"/>
          </a:pPr>
          <a:endParaRPr lang="fr-FR" sz="1200" b="0" i="0" u="none" strike="noStrike" baseline="0">
            <a:solidFill>
              <a:srgbClr val="000000"/>
            </a:solidFill>
            <a:latin typeface="Times New Roman"/>
            <a:cs typeface="Times New Roman"/>
          </a:endParaRP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Un mois avant le 10 km :</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6 séances par semaine :</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Semaine 1 :</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 Séance 1 : Capacité aérobie 30 à 45 minutes (8 km en 37’22 - FC : 142 puls/min)</a:t>
          </a:r>
        </a:p>
        <a:p>
          <a:pPr algn="l" rtl="0">
            <a:defRPr sz="1000"/>
          </a:pPr>
          <a:r>
            <a:rPr lang="fr-FR" sz="1200" b="0" i="0" u="none" strike="noStrike" baseline="0">
              <a:solidFill>
                <a:srgbClr val="000000"/>
              </a:solidFill>
              <a:latin typeface="Times New Roman"/>
              <a:cs typeface="Times New Roman"/>
            </a:rPr>
            <a:t>· Séance 2 :  seuil anaérobie  4 x 2000 m (8’25 - récupération 3’)</a:t>
          </a:r>
        </a:p>
        <a:p>
          <a:pPr algn="l" rtl="0">
            <a:defRPr sz="1000"/>
          </a:pPr>
          <a:r>
            <a:rPr lang="fr-FR" sz="1200" b="0" i="0" u="none" strike="noStrike" baseline="0">
              <a:solidFill>
                <a:srgbClr val="000000"/>
              </a:solidFill>
              <a:latin typeface="Times New Roman"/>
              <a:cs typeface="Times New Roman"/>
            </a:rPr>
            <a:t>· Séance 3 : récupération 1 heure - 70% VMA - (10 km en 52’22 soit le 1000 m en 4’28,29)</a:t>
          </a:r>
        </a:p>
        <a:p>
          <a:pPr algn="l" rtl="0">
            <a:defRPr sz="1000"/>
          </a:pPr>
          <a:r>
            <a:rPr lang="fr-FR" sz="1200" b="0" i="0" u="none" strike="noStrike" baseline="0">
              <a:solidFill>
                <a:srgbClr val="000000"/>
              </a:solidFill>
              <a:latin typeface="Times New Roman"/>
              <a:cs typeface="Times New Roman"/>
            </a:rPr>
            <a:t>· Séance 4 :VMA - 10 x 500 m (1’44 - 1’ de récupération )</a:t>
          </a:r>
        </a:p>
        <a:p>
          <a:pPr algn="l" rtl="0">
            <a:defRPr sz="1000"/>
          </a:pPr>
          <a:r>
            <a:rPr lang="fr-FR" sz="1200" b="0" i="0" u="none" strike="noStrike" baseline="0">
              <a:solidFill>
                <a:srgbClr val="000000"/>
              </a:solidFill>
              <a:latin typeface="Times New Roman"/>
              <a:cs typeface="Times New Roman"/>
            </a:rPr>
            <a:t>· Séance 5 : récupération 1 heure - 70% VMA - (10 km en 52’22 soit le 1 000 m en 4’28,29</a:t>
          </a:r>
        </a:p>
        <a:p>
          <a:pPr algn="l" rtl="0">
            <a:defRPr sz="1000"/>
          </a:pPr>
          <a:r>
            <a:rPr lang="fr-FR" sz="1200" b="0" i="0" u="none" strike="noStrike" baseline="0">
              <a:solidFill>
                <a:srgbClr val="000000"/>
              </a:solidFill>
              <a:latin typeface="Times New Roman"/>
              <a:cs typeface="Times New Roman"/>
            </a:rPr>
            <a:t>· Séance 6 : capacité aérobie : 45’ à 1 heure </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Semaine 2 :</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 Séance 1 : Entretien - allure marathon - 82% de la VMA (4’28 au 1000 m)</a:t>
          </a:r>
        </a:p>
        <a:p>
          <a:pPr algn="l" rtl="0">
            <a:defRPr sz="1000"/>
          </a:pPr>
          <a:r>
            <a:rPr lang="fr-FR" sz="1200" b="0" i="0" u="none" strike="noStrike" baseline="0">
              <a:solidFill>
                <a:srgbClr val="000000"/>
              </a:solidFill>
              <a:latin typeface="Times New Roman"/>
              <a:cs typeface="Times New Roman"/>
            </a:rPr>
            <a:t>· Séance 2 :  seuil anaérobie  6 x 1000 m (4’12 - récup 2’30 à 3’)</a:t>
          </a:r>
        </a:p>
        <a:p>
          <a:pPr algn="l" rtl="0">
            <a:defRPr sz="1000"/>
          </a:pPr>
          <a:r>
            <a:rPr lang="fr-FR" sz="1200" b="0" i="0" u="none" strike="noStrike" baseline="0">
              <a:solidFill>
                <a:srgbClr val="000000"/>
              </a:solidFill>
              <a:latin typeface="Times New Roman"/>
              <a:cs typeface="Times New Roman"/>
            </a:rPr>
            <a:t>· Séance 3 : récupération 12 km</a:t>
          </a:r>
        </a:p>
        <a:p>
          <a:pPr algn="l" rtl="0">
            <a:defRPr sz="1000"/>
          </a:pPr>
          <a:r>
            <a:rPr lang="fr-FR" sz="1200" b="0" i="0" u="none" strike="noStrike" baseline="0">
              <a:solidFill>
                <a:srgbClr val="000000"/>
              </a:solidFill>
              <a:latin typeface="Times New Roman"/>
              <a:cs typeface="Times New Roman"/>
            </a:rPr>
            <a:t>· Séance 4 :VMA - 10 x 300 m (1’01 - 1’ de récupération )</a:t>
          </a:r>
        </a:p>
        <a:p>
          <a:pPr algn="l" rtl="0">
            <a:defRPr sz="1000"/>
          </a:pPr>
          <a:r>
            <a:rPr lang="fr-FR" sz="1200" b="0" i="0" u="none" strike="noStrike" baseline="0">
              <a:solidFill>
                <a:srgbClr val="000000"/>
              </a:solidFill>
              <a:latin typeface="Times New Roman"/>
              <a:cs typeface="Times New Roman"/>
            </a:rPr>
            <a:t>· Séance 5 : récupération 12 km - 70% VMA - (le 1000 m en 4’28,29)</a:t>
          </a:r>
        </a:p>
        <a:p>
          <a:pPr algn="l" rtl="0">
            <a:defRPr sz="1000"/>
          </a:pPr>
          <a:r>
            <a:rPr lang="fr-FR" sz="1200" b="0" i="0" u="none" strike="noStrike" baseline="0">
              <a:solidFill>
                <a:srgbClr val="000000"/>
              </a:solidFill>
              <a:latin typeface="Times New Roman"/>
              <a:cs typeface="Times New Roman"/>
            </a:rPr>
            <a:t>· Séance 6 : Test sur 3000 m (CAT test pour réajuster les temps des semaines 3 et 4) </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Semaine 3 :</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 Séance 1 : Capacité aérobie  45 minutes à 1 heure </a:t>
          </a:r>
        </a:p>
        <a:p>
          <a:pPr algn="l" rtl="0">
            <a:defRPr sz="1000"/>
          </a:pPr>
          <a:r>
            <a:rPr lang="fr-FR" sz="1200" b="0" i="0" u="none" strike="noStrike" baseline="0">
              <a:solidFill>
                <a:srgbClr val="000000"/>
              </a:solidFill>
              <a:latin typeface="Times New Roman"/>
              <a:cs typeface="Times New Roman"/>
            </a:rPr>
            <a:t>· Séance 2 :  seuil anaérobie   3000 m - 2000 m 1000 m (récupération 3’)</a:t>
          </a:r>
        </a:p>
        <a:p>
          <a:pPr algn="l" rtl="0">
            <a:defRPr sz="1000"/>
          </a:pPr>
          <a:r>
            <a:rPr lang="fr-FR" sz="1200" b="0" i="0" u="none" strike="noStrike" baseline="0">
              <a:solidFill>
                <a:srgbClr val="000000"/>
              </a:solidFill>
              <a:latin typeface="Times New Roman"/>
              <a:cs typeface="Times New Roman"/>
            </a:rPr>
            <a:t>· Séance 3 : récupération 1 heure - 70% VMA </a:t>
          </a:r>
        </a:p>
        <a:p>
          <a:pPr algn="l" rtl="0">
            <a:defRPr sz="1000"/>
          </a:pPr>
          <a:r>
            <a:rPr lang="fr-FR" sz="1200" b="0" i="0" u="none" strike="noStrike" baseline="0">
              <a:solidFill>
                <a:srgbClr val="000000"/>
              </a:solidFill>
              <a:latin typeface="Times New Roman"/>
              <a:cs typeface="Times New Roman"/>
            </a:rPr>
            <a:t>· Séance 4 :VMA - 15 x 200 m  </a:t>
          </a:r>
        </a:p>
        <a:p>
          <a:pPr algn="l" rtl="0">
            <a:defRPr sz="1000"/>
          </a:pPr>
          <a:r>
            <a:rPr lang="fr-FR" sz="1200" b="0" i="0" u="none" strike="noStrike" baseline="0">
              <a:solidFill>
                <a:srgbClr val="000000"/>
              </a:solidFill>
              <a:latin typeface="Times New Roman"/>
              <a:cs typeface="Times New Roman"/>
            </a:rPr>
            <a:t>· Séance 5 : récupération 1 heure - 70% VMA  </a:t>
          </a:r>
        </a:p>
        <a:p>
          <a:pPr algn="l" rtl="0">
            <a:defRPr sz="1000"/>
          </a:pPr>
          <a:r>
            <a:rPr lang="fr-FR" sz="1200" b="0" i="0" u="none" strike="noStrike" baseline="0">
              <a:solidFill>
                <a:srgbClr val="000000"/>
              </a:solidFill>
              <a:latin typeface="Times New Roman"/>
              <a:cs typeface="Times New Roman"/>
            </a:rPr>
            <a:t>· Séance 6 : capacité aérobie  30 ‘ suivi de 45’ d’entretien</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Semaine 4 :</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 Séance 1 : Entretien 1 heure</a:t>
          </a:r>
        </a:p>
        <a:p>
          <a:pPr algn="l" rtl="0">
            <a:defRPr sz="1000"/>
          </a:pPr>
          <a:r>
            <a:rPr lang="fr-FR" sz="1200" b="0" i="0" u="none" strike="noStrike" baseline="0">
              <a:solidFill>
                <a:srgbClr val="000000"/>
              </a:solidFill>
              <a:latin typeface="Times New Roman"/>
              <a:cs typeface="Times New Roman"/>
            </a:rPr>
            <a:t>· Séance 2 :  VMA : 5 x 800 m</a:t>
          </a:r>
        </a:p>
        <a:p>
          <a:pPr algn="l" rtl="0">
            <a:defRPr sz="1000"/>
          </a:pPr>
          <a:r>
            <a:rPr lang="fr-FR" sz="1200" b="0" i="0" u="none" strike="noStrike" baseline="0">
              <a:solidFill>
                <a:srgbClr val="000000"/>
              </a:solidFill>
              <a:latin typeface="Times New Roman"/>
              <a:cs typeface="Times New Roman"/>
            </a:rPr>
            <a:t>· Séance 3 : récupération 50’</a:t>
          </a:r>
        </a:p>
        <a:p>
          <a:pPr algn="l" rtl="0">
            <a:defRPr sz="1000"/>
          </a:pPr>
          <a:r>
            <a:rPr lang="fr-FR" sz="1200" b="0" i="0" u="none" strike="noStrike" baseline="0">
              <a:solidFill>
                <a:srgbClr val="000000"/>
              </a:solidFill>
              <a:latin typeface="Times New Roman"/>
              <a:cs typeface="Times New Roman"/>
            </a:rPr>
            <a:t>· Séance 4 : 30 ‘ capacité aérobie - VMA : 5 x 100 m - 45’ d’entretien  </a:t>
          </a:r>
        </a:p>
        <a:p>
          <a:pPr algn="l" rtl="0">
            <a:defRPr sz="1000"/>
          </a:pPr>
          <a:r>
            <a:rPr lang="fr-FR" sz="1200" b="0" i="0" u="none" strike="noStrike" baseline="0">
              <a:solidFill>
                <a:srgbClr val="000000"/>
              </a:solidFill>
              <a:latin typeface="Times New Roman"/>
              <a:cs typeface="Times New Roman"/>
            </a:rPr>
            <a:t>· Séance 5 :  Compétition  sur 10 km</a:t>
          </a:r>
        </a:p>
        <a:p>
          <a:pPr algn="l" rtl="0">
            <a:defRPr sz="1000"/>
          </a:pPr>
          <a:endParaRPr lang="fr-FR" sz="1200" b="0" i="0" u="none" strike="noStrike" baseline="0">
            <a:solidFill>
              <a:srgbClr val="000000"/>
            </a:solidFill>
            <a:latin typeface="Times New Roman"/>
            <a:cs typeface="Times New Roman"/>
          </a:endParaRPr>
        </a:p>
        <a:p>
          <a:pPr algn="l" rtl="0">
            <a:defRPr sz="1000"/>
          </a:pPr>
          <a:endParaRPr lang="fr-FR" sz="1200" b="0" i="0" u="none" strike="noStrike" baseline="0">
            <a:solidFill>
              <a:srgbClr val="000000"/>
            </a:solidFill>
            <a:latin typeface="Times New Roman"/>
            <a:cs typeface="Times New Roman"/>
          </a:endParaRPr>
        </a:p>
        <a:p>
          <a:pPr algn="l" rtl="0">
            <a:defRPr sz="1000"/>
          </a:pPr>
          <a:endParaRPr lang="fr-FR" sz="1200" b="0" i="0" u="none" strike="noStrike" baseline="0">
            <a:solidFill>
              <a:srgbClr val="000000"/>
            </a:solidFill>
            <a:latin typeface="Times New Roman"/>
            <a:cs typeface="Times New Roman"/>
          </a:endParaRPr>
        </a:p>
      </xdr:txBody>
    </xdr:sp>
    <xdr:clientData/>
  </xdr:twoCellAnchor>
  <xdr:twoCellAnchor>
    <xdr:from>
      <xdr:col>4</xdr:col>
      <xdr:colOff>76200</xdr:colOff>
      <xdr:row>65</xdr:row>
      <xdr:rowOff>219075</xdr:rowOff>
    </xdr:from>
    <xdr:to>
      <xdr:col>4</xdr:col>
      <xdr:colOff>828675</xdr:colOff>
      <xdr:row>65</xdr:row>
      <xdr:rowOff>219075</xdr:rowOff>
    </xdr:to>
    <xdr:sp macro="" textlink="">
      <xdr:nvSpPr>
        <xdr:cNvPr id="29701" name="Line 5"/>
        <xdr:cNvSpPr>
          <a:spLocks noChangeShapeType="1"/>
        </xdr:cNvSpPr>
      </xdr:nvSpPr>
      <xdr:spPr bwMode="auto">
        <a:xfrm>
          <a:off x="3648075" y="13373100"/>
          <a:ext cx="752475" cy="0"/>
        </a:xfrm>
        <a:prstGeom prst="line">
          <a:avLst/>
        </a:prstGeom>
        <a:noFill/>
        <a:ln w="9525">
          <a:solidFill>
            <a:srgbClr val="000000"/>
          </a:solidFill>
          <a:round/>
          <a:headEnd/>
          <a:tailEnd type="triangle" w="med" len="med"/>
        </a:ln>
      </xdr:spPr>
    </xdr:sp>
    <xdr:clientData/>
  </xdr:twoCellAnchor>
  <xdr:twoCellAnchor>
    <xdr:from>
      <xdr:col>6</xdr:col>
      <xdr:colOff>447675</xdr:colOff>
      <xdr:row>67</xdr:row>
      <xdr:rowOff>9525</xdr:rowOff>
    </xdr:from>
    <xdr:to>
      <xdr:col>6</xdr:col>
      <xdr:colOff>447675</xdr:colOff>
      <xdr:row>68</xdr:row>
      <xdr:rowOff>228600</xdr:rowOff>
    </xdr:to>
    <xdr:sp macro="" textlink="">
      <xdr:nvSpPr>
        <xdr:cNvPr id="29702" name="Line 6"/>
        <xdr:cNvSpPr>
          <a:spLocks noChangeShapeType="1"/>
        </xdr:cNvSpPr>
      </xdr:nvSpPr>
      <xdr:spPr bwMode="auto">
        <a:xfrm>
          <a:off x="5905500" y="13649325"/>
          <a:ext cx="0" cy="457200"/>
        </a:xfrm>
        <a:prstGeom prst="line">
          <a:avLst/>
        </a:prstGeom>
        <a:noFill/>
        <a:ln w="9525">
          <a:solidFill>
            <a:srgbClr val="000000"/>
          </a:solidFill>
          <a:round/>
          <a:headEnd/>
          <a:tailEnd type="triangle" w="med" len="me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104775</xdr:colOff>
      <xdr:row>0</xdr:row>
      <xdr:rowOff>0</xdr:rowOff>
    </xdr:from>
    <xdr:to>
      <xdr:col>11</xdr:col>
      <xdr:colOff>0</xdr:colOff>
      <xdr:row>0</xdr:row>
      <xdr:rowOff>0</xdr:rowOff>
    </xdr:to>
    <xdr:sp macro="" textlink="">
      <xdr:nvSpPr>
        <xdr:cNvPr id="30721" name="Text Box 1"/>
        <xdr:cNvSpPr txBox="1">
          <a:spLocks noChangeArrowheads="1"/>
        </xdr:cNvSpPr>
      </xdr:nvSpPr>
      <xdr:spPr bwMode="auto">
        <a:xfrm>
          <a:off x="104775" y="0"/>
          <a:ext cx="9658350" cy="0"/>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fr-FR" sz="1600" b="1" i="0" u="none" strike="noStrike" baseline="0">
              <a:solidFill>
                <a:srgbClr val="000000"/>
              </a:solidFill>
              <a:latin typeface="Times New Roman"/>
              <a:cs typeface="Times New Roman"/>
            </a:rPr>
            <a:t>10 Km pour un athlète avec une </a:t>
          </a:r>
          <a:r>
            <a:rPr lang="fr-FR" sz="1200" b="0" i="0" u="none" strike="noStrike" baseline="0">
              <a:solidFill>
                <a:srgbClr val="000000"/>
              </a:solidFill>
              <a:latin typeface="Times New Roman"/>
              <a:cs typeface="Times New Roman"/>
            </a:rPr>
            <a:t>: </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1" i="0" u="none" strike="noStrike" baseline="0">
              <a:solidFill>
                <a:srgbClr val="FF0000"/>
              </a:solidFill>
              <a:latin typeface="Times New Roman"/>
              <a:cs typeface="Times New Roman"/>
            </a:rPr>
            <a:t>VMA de 16,36 km - FC max de 177 puls/min -seuil anaérobie 87 %de la VMA</a:t>
          </a:r>
          <a:endParaRPr lang="fr-FR" sz="1200" b="0" i="0" u="none" strike="noStrike" baseline="0">
            <a:solidFill>
              <a:srgbClr val="000000"/>
            </a:solidFill>
            <a:latin typeface="Times New Roman"/>
            <a:cs typeface="Times New Roman"/>
          </a:endParaRP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FF"/>
              </a:solidFill>
              <a:latin typeface="Times New Roman"/>
              <a:cs typeface="Times New Roman"/>
            </a:rPr>
            <a:t>1 mois dominante Capacité aérobie </a:t>
          </a:r>
        </a:p>
        <a:p>
          <a:pPr algn="l" rtl="0">
            <a:defRPr sz="1000"/>
          </a:pPr>
          <a:endParaRPr lang="fr-FR" sz="1200" b="0" i="0" u="none" strike="noStrike" baseline="0">
            <a:solidFill>
              <a:srgbClr val="0000FF"/>
            </a:solidFill>
            <a:latin typeface="Times New Roman"/>
            <a:cs typeface="Times New Roman"/>
          </a:endParaRPr>
        </a:p>
        <a:p>
          <a:pPr algn="l" rtl="0">
            <a:defRPr sz="1000"/>
          </a:pPr>
          <a:endParaRPr lang="fr-FR" sz="1200" b="0" i="0" u="none" strike="noStrike" baseline="0">
            <a:solidFill>
              <a:srgbClr val="000000"/>
            </a:solidFill>
            <a:latin typeface="Times New Roman"/>
            <a:cs typeface="Times New Roman"/>
          </a:endParaRP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1er cycle Semaine 2 semaine 2 semaine 3 semaine 4</a:t>
          </a:r>
        </a:p>
        <a:p>
          <a:pPr algn="l" rtl="0">
            <a:defRPr sz="1000"/>
          </a:pPr>
          <a:r>
            <a:rPr lang="fr-FR" sz="1200" b="0" i="0" u="none" strike="noStrike" baseline="0">
              <a:solidFill>
                <a:srgbClr val="000000"/>
              </a:solidFill>
              <a:latin typeface="Times New Roman"/>
              <a:cs typeface="Times New Roman"/>
            </a:rPr>
            <a:t>S1 capacité aérobie récupération récupération récupération</a:t>
          </a:r>
        </a:p>
        <a:p>
          <a:pPr algn="l" rtl="0">
            <a:defRPr sz="1000"/>
          </a:pPr>
          <a:r>
            <a:rPr lang="fr-FR" sz="1200" b="0" i="0" u="none" strike="noStrike" baseline="0">
              <a:solidFill>
                <a:srgbClr val="000000"/>
              </a:solidFill>
              <a:latin typeface="Times New Roman"/>
              <a:cs typeface="Times New Roman"/>
            </a:rPr>
            <a:t>S2 récupération capacité aérobie capacité aérobie VMA</a:t>
          </a:r>
        </a:p>
        <a:p>
          <a:pPr algn="l" rtl="0">
            <a:defRPr sz="1000"/>
          </a:pPr>
          <a:r>
            <a:rPr lang="fr-FR" sz="1200" b="0" i="0" u="none" strike="noStrike" baseline="0">
              <a:solidFill>
                <a:srgbClr val="000000"/>
              </a:solidFill>
              <a:latin typeface="Times New Roman"/>
              <a:cs typeface="Times New Roman"/>
            </a:rPr>
            <a:t>S3 capacité aérobie récupération récupération récupération</a:t>
          </a:r>
        </a:p>
        <a:p>
          <a:pPr algn="l" rtl="0">
            <a:defRPr sz="1000"/>
          </a:pPr>
          <a:r>
            <a:rPr lang="fr-FR" sz="1200" b="0" i="0" u="none" strike="noStrike" baseline="0">
              <a:solidFill>
                <a:srgbClr val="000000"/>
              </a:solidFill>
              <a:latin typeface="Times New Roman"/>
              <a:cs typeface="Times New Roman"/>
            </a:rPr>
            <a:t>S4 Entretien Entretien VMA capacité aérobie</a:t>
          </a:r>
        </a:p>
        <a:p>
          <a:pPr algn="l" rtl="0">
            <a:defRPr sz="1000"/>
          </a:pPr>
          <a:r>
            <a:rPr lang="fr-FR" sz="1200" b="0" i="0" u="none" strike="noStrike" baseline="0">
              <a:solidFill>
                <a:srgbClr val="000000"/>
              </a:solidFill>
              <a:latin typeface="Times New Roman"/>
              <a:cs typeface="Times New Roman"/>
            </a:rPr>
            <a:t>S5 capacité aérobie capacité aérobie récupération récupération</a:t>
          </a:r>
        </a:p>
        <a:p>
          <a:pPr algn="l" rtl="0">
            <a:defRPr sz="1000"/>
          </a:pPr>
          <a:endParaRPr lang="fr-FR" sz="1200" b="0" i="0" u="none" strike="noStrike" baseline="0">
            <a:solidFill>
              <a:srgbClr val="000000"/>
            </a:solidFill>
            <a:latin typeface="Times New Roman"/>
            <a:cs typeface="Times New Roman"/>
          </a:endParaRP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FF"/>
              </a:solidFill>
              <a:latin typeface="Times New Roman"/>
              <a:cs typeface="Times New Roman"/>
            </a:rPr>
            <a:t>2 mois dominante VMA :</a:t>
          </a:r>
          <a:endParaRPr lang="fr-FR" sz="1200" b="0" i="0" u="none" strike="noStrike" baseline="0">
            <a:solidFill>
              <a:srgbClr val="000000"/>
            </a:solidFill>
            <a:latin typeface="Times New Roman"/>
            <a:cs typeface="Times New Roman"/>
          </a:endParaRP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1er cycle Semaine 2 semaine 2 semaine 3 semaine 4</a:t>
          </a:r>
        </a:p>
        <a:p>
          <a:pPr algn="l" rtl="0">
            <a:defRPr sz="1000"/>
          </a:pPr>
          <a:r>
            <a:rPr lang="fr-FR" sz="1200" b="0" i="0" u="none" strike="noStrike" baseline="0">
              <a:solidFill>
                <a:srgbClr val="000000"/>
              </a:solidFill>
              <a:latin typeface="Times New Roman"/>
              <a:cs typeface="Times New Roman"/>
            </a:rPr>
            <a:t>S1 récupération récupération récupération récupération</a:t>
          </a:r>
        </a:p>
        <a:p>
          <a:pPr algn="l" rtl="0">
            <a:defRPr sz="1000"/>
          </a:pPr>
          <a:r>
            <a:rPr lang="fr-FR" sz="1200" b="0" i="0" u="none" strike="noStrike" baseline="0">
              <a:solidFill>
                <a:srgbClr val="000000"/>
              </a:solidFill>
              <a:latin typeface="Times New Roman"/>
              <a:cs typeface="Times New Roman"/>
            </a:rPr>
            <a:t>S2 VMA VMA VMA VMA</a:t>
          </a:r>
        </a:p>
        <a:p>
          <a:pPr algn="l" rtl="0">
            <a:defRPr sz="1000"/>
          </a:pPr>
          <a:r>
            <a:rPr lang="fr-FR" sz="1200" b="0" i="0" u="none" strike="noStrike" baseline="0">
              <a:solidFill>
                <a:srgbClr val="000000"/>
              </a:solidFill>
              <a:latin typeface="Times New Roman"/>
              <a:cs typeface="Times New Roman"/>
            </a:rPr>
            <a:t>S3 récupération récupération récupération récupération</a:t>
          </a:r>
        </a:p>
        <a:p>
          <a:pPr algn="l" rtl="0">
            <a:defRPr sz="1000"/>
          </a:pPr>
          <a:r>
            <a:rPr lang="fr-FR" sz="1200" b="0" i="0" u="none" strike="noStrike" baseline="0">
              <a:solidFill>
                <a:srgbClr val="000000"/>
              </a:solidFill>
              <a:latin typeface="Times New Roman"/>
              <a:cs typeface="Times New Roman"/>
            </a:rPr>
            <a:t>S4 Entretien Entretien VMA récupération</a:t>
          </a:r>
        </a:p>
        <a:p>
          <a:pPr algn="l" rtl="0">
            <a:defRPr sz="1000"/>
          </a:pPr>
          <a:r>
            <a:rPr lang="fr-FR" sz="1200" b="0" i="0" u="none" strike="noStrike" baseline="0">
              <a:solidFill>
                <a:srgbClr val="000000"/>
              </a:solidFill>
              <a:latin typeface="Times New Roman"/>
              <a:cs typeface="Times New Roman"/>
            </a:rPr>
            <a:t>S5 Récupération récupération récupération récupération</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1er cycle Semaine 2 semaine 2 semaine 3 semaine 4</a:t>
          </a:r>
        </a:p>
        <a:p>
          <a:pPr algn="l" rtl="0">
            <a:defRPr sz="1000"/>
          </a:pPr>
          <a:r>
            <a:rPr lang="fr-FR" sz="1200" b="0" i="0" u="none" strike="noStrike" baseline="0">
              <a:solidFill>
                <a:srgbClr val="000000"/>
              </a:solidFill>
              <a:latin typeface="Times New Roman"/>
              <a:cs typeface="Times New Roman"/>
            </a:rPr>
            <a:t>S1 récupération récupération récupération récupération</a:t>
          </a:r>
        </a:p>
        <a:p>
          <a:pPr algn="l" rtl="0">
            <a:defRPr sz="1000"/>
          </a:pPr>
          <a:r>
            <a:rPr lang="fr-FR" sz="1200" b="0" i="0" u="none" strike="noStrike" baseline="0">
              <a:solidFill>
                <a:srgbClr val="000000"/>
              </a:solidFill>
              <a:latin typeface="Times New Roman"/>
              <a:cs typeface="Times New Roman"/>
            </a:rPr>
            <a:t>S2 VMA VMA VMA seuil anaérobie</a:t>
          </a:r>
        </a:p>
        <a:p>
          <a:pPr algn="l" rtl="0">
            <a:defRPr sz="1000"/>
          </a:pPr>
          <a:r>
            <a:rPr lang="fr-FR" sz="1200" b="0" i="0" u="none" strike="noStrike" baseline="0">
              <a:solidFill>
                <a:srgbClr val="000000"/>
              </a:solidFill>
              <a:latin typeface="Times New Roman"/>
              <a:cs typeface="Times New Roman"/>
            </a:rPr>
            <a:t>S3 récupération récupération récupération récupération</a:t>
          </a:r>
        </a:p>
        <a:p>
          <a:pPr algn="l" rtl="0">
            <a:defRPr sz="1000"/>
          </a:pPr>
          <a:r>
            <a:rPr lang="fr-FR" sz="1200" b="0" i="0" u="none" strike="noStrike" baseline="0">
              <a:solidFill>
                <a:srgbClr val="000000"/>
              </a:solidFill>
              <a:latin typeface="Times New Roman"/>
              <a:cs typeface="Times New Roman"/>
            </a:rPr>
            <a:t>S4 Entretien Entretien Entretien Entretien</a:t>
          </a:r>
        </a:p>
        <a:p>
          <a:pPr algn="l" rtl="0">
            <a:defRPr sz="1000"/>
          </a:pPr>
          <a:r>
            <a:rPr lang="fr-FR" sz="1200" b="0" i="0" u="none" strike="noStrike" baseline="0">
              <a:solidFill>
                <a:srgbClr val="000000"/>
              </a:solidFill>
              <a:latin typeface="Times New Roman"/>
              <a:cs typeface="Times New Roman"/>
            </a:rPr>
            <a:t>S5 VMA seuil anaérobie seuil anaérobie récupération</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1 mois dominante seuil anaérobie</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1er cycle Semaine 2 semaine 2 semaine 3 semaine 4</a:t>
          </a:r>
        </a:p>
        <a:p>
          <a:pPr algn="l" rtl="0">
            <a:defRPr sz="1000"/>
          </a:pPr>
          <a:r>
            <a:rPr lang="fr-FR" sz="1200" b="0" i="0" u="none" strike="noStrike" baseline="0">
              <a:solidFill>
                <a:srgbClr val="000000"/>
              </a:solidFill>
              <a:latin typeface="Times New Roman"/>
              <a:cs typeface="Times New Roman"/>
            </a:rPr>
            <a:t>S1 seuil anaérobie seuil anaérobie seuil anaérobie seuil anaérobie</a:t>
          </a:r>
        </a:p>
        <a:p>
          <a:pPr algn="l" rtl="0">
            <a:defRPr sz="1000"/>
          </a:pPr>
          <a:r>
            <a:rPr lang="fr-FR" sz="1200" b="0" i="0" u="none" strike="noStrike" baseline="0">
              <a:solidFill>
                <a:srgbClr val="000000"/>
              </a:solidFill>
              <a:latin typeface="Times New Roman"/>
              <a:cs typeface="Times New Roman"/>
            </a:rPr>
            <a:t>S2 récupération récupération récupération Entretien</a:t>
          </a:r>
        </a:p>
        <a:p>
          <a:pPr algn="l" rtl="0">
            <a:defRPr sz="1000"/>
          </a:pPr>
          <a:r>
            <a:rPr lang="fr-FR" sz="1200" b="0" i="0" u="none" strike="noStrike" baseline="0">
              <a:solidFill>
                <a:srgbClr val="000000"/>
              </a:solidFill>
              <a:latin typeface="Times New Roman"/>
              <a:cs typeface="Times New Roman"/>
            </a:rPr>
            <a:t>S3 seuil anaérobie Entretien seuil anaérobie récupération</a:t>
          </a:r>
        </a:p>
        <a:p>
          <a:pPr algn="l" rtl="0">
            <a:defRPr sz="1000"/>
          </a:pPr>
          <a:r>
            <a:rPr lang="fr-FR" sz="1200" b="0" i="0" u="none" strike="noStrike" baseline="0">
              <a:solidFill>
                <a:srgbClr val="000000"/>
              </a:solidFill>
              <a:latin typeface="Times New Roman"/>
              <a:cs typeface="Times New Roman"/>
            </a:rPr>
            <a:t>S4 récupération récupération récupération Entretien</a:t>
          </a:r>
        </a:p>
        <a:p>
          <a:pPr algn="l" rtl="0">
            <a:defRPr sz="1000"/>
          </a:pPr>
          <a:r>
            <a:rPr lang="fr-FR" sz="1200" b="0" i="0" u="none" strike="noStrike" baseline="0">
              <a:solidFill>
                <a:srgbClr val="000000"/>
              </a:solidFill>
              <a:latin typeface="Times New Roman"/>
              <a:cs typeface="Times New Roman"/>
            </a:rPr>
            <a:t>S5 VMA seuil anaérobie VMA seuil anaérobie</a:t>
          </a:r>
        </a:p>
        <a:p>
          <a:pPr algn="l" rtl="0">
            <a:defRPr sz="1000"/>
          </a:pPr>
          <a:endParaRPr lang="fr-FR" sz="1200" b="0" i="0" u="none" strike="noStrike" baseline="0">
            <a:solidFill>
              <a:srgbClr val="000000"/>
            </a:solidFill>
            <a:latin typeface="Times New Roman"/>
            <a:cs typeface="Times New Roman"/>
          </a:endParaRP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Un mois avant le 10 km :</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6 séances par semaine :</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Semaine 1 :</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 Séance 1 : Capacité aérobie 30 à 45 minutes (8 km en 37’22 - FC : 142 puls/min)</a:t>
          </a:r>
        </a:p>
        <a:p>
          <a:pPr algn="l" rtl="0">
            <a:defRPr sz="1000"/>
          </a:pPr>
          <a:r>
            <a:rPr lang="fr-FR" sz="1200" b="0" i="0" u="none" strike="noStrike" baseline="0">
              <a:solidFill>
                <a:srgbClr val="000000"/>
              </a:solidFill>
              <a:latin typeface="Times New Roman"/>
              <a:cs typeface="Times New Roman"/>
            </a:rPr>
            <a:t>· Séance 2 :  seuil anaérobie  4 x 2000 m (8’25 - récupération 3’)</a:t>
          </a:r>
        </a:p>
        <a:p>
          <a:pPr algn="l" rtl="0">
            <a:defRPr sz="1000"/>
          </a:pPr>
          <a:r>
            <a:rPr lang="fr-FR" sz="1200" b="0" i="0" u="none" strike="noStrike" baseline="0">
              <a:solidFill>
                <a:srgbClr val="000000"/>
              </a:solidFill>
              <a:latin typeface="Times New Roman"/>
              <a:cs typeface="Times New Roman"/>
            </a:rPr>
            <a:t>· Séance 3 : récupération 1 heure - 70% VMA - (10 km en 52’22 soit le 1000 m en 4’28,29)</a:t>
          </a:r>
        </a:p>
        <a:p>
          <a:pPr algn="l" rtl="0">
            <a:defRPr sz="1000"/>
          </a:pPr>
          <a:r>
            <a:rPr lang="fr-FR" sz="1200" b="0" i="0" u="none" strike="noStrike" baseline="0">
              <a:solidFill>
                <a:srgbClr val="000000"/>
              </a:solidFill>
              <a:latin typeface="Times New Roman"/>
              <a:cs typeface="Times New Roman"/>
            </a:rPr>
            <a:t>· Séance 4 :VMA - 10 x 500 m (1’44 - 1’ de récupération )</a:t>
          </a:r>
        </a:p>
        <a:p>
          <a:pPr algn="l" rtl="0">
            <a:defRPr sz="1000"/>
          </a:pPr>
          <a:r>
            <a:rPr lang="fr-FR" sz="1200" b="0" i="0" u="none" strike="noStrike" baseline="0">
              <a:solidFill>
                <a:srgbClr val="000000"/>
              </a:solidFill>
              <a:latin typeface="Times New Roman"/>
              <a:cs typeface="Times New Roman"/>
            </a:rPr>
            <a:t>· Séance 5 : récupération 1 heure - 70% VMA - (10 km en 52’22 soit le 1 000 m en 4’28,29</a:t>
          </a:r>
        </a:p>
        <a:p>
          <a:pPr algn="l" rtl="0">
            <a:defRPr sz="1000"/>
          </a:pPr>
          <a:r>
            <a:rPr lang="fr-FR" sz="1200" b="0" i="0" u="none" strike="noStrike" baseline="0">
              <a:solidFill>
                <a:srgbClr val="000000"/>
              </a:solidFill>
              <a:latin typeface="Times New Roman"/>
              <a:cs typeface="Times New Roman"/>
            </a:rPr>
            <a:t>· Séance 6 : capacité aérobie : 45’ à 1 heure </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Semaine 2 :</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 Séance 1 : Entretien - allure marathon - 82% de la VMA (4’28 au 1000 m)</a:t>
          </a:r>
        </a:p>
        <a:p>
          <a:pPr algn="l" rtl="0">
            <a:defRPr sz="1000"/>
          </a:pPr>
          <a:r>
            <a:rPr lang="fr-FR" sz="1200" b="0" i="0" u="none" strike="noStrike" baseline="0">
              <a:solidFill>
                <a:srgbClr val="000000"/>
              </a:solidFill>
              <a:latin typeface="Times New Roman"/>
              <a:cs typeface="Times New Roman"/>
            </a:rPr>
            <a:t>· Séance 2 :  seuil anaérobie  6 x 1000 m (4’12 - récup 2’30 à 3’)</a:t>
          </a:r>
        </a:p>
        <a:p>
          <a:pPr algn="l" rtl="0">
            <a:defRPr sz="1000"/>
          </a:pPr>
          <a:r>
            <a:rPr lang="fr-FR" sz="1200" b="0" i="0" u="none" strike="noStrike" baseline="0">
              <a:solidFill>
                <a:srgbClr val="000000"/>
              </a:solidFill>
              <a:latin typeface="Times New Roman"/>
              <a:cs typeface="Times New Roman"/>
            </a:rPr>
            <a:t>· Séance 3 : récupération 12 km</a:t>
          </a:r>
        </a:p>
        <a:p>
          <a:pPr algn="l" rtl="0">
            <a:defRPr sz="1000"/>
          </a:pPr>
          <a:r>
            <a:rPr lang="fr-FR" sz="1200" b="0" i="0" u="none" strike="noStrike" baseline="0">
              <a:solidFill>
                <a:srgbClr val="000000"/>
              </a:solidFill>
              <a:latin typeface="Times New Roman"/>
              <a:cs typeface="Times New Roman"/>
            </a:rPr>
            <a:t>· Séance 4 :VMA - 10 x 300 m (1’01 - 1’ de récupération )</a:t>
          </a:r>
        </a:p>
        <a:p>
          <a:pPr algn="l" rtl="0">
            <a:defRPr sz="1000"/>
          </a:pPr>
          <a:r>
            <a:rPr lang="fr-FR" sz="1200" b="0" i="0" u="none" strike="noStrike" baseline="0">
              <a:solidFill>
                <a:srgbClr val="000000"/>
              </a:solidFill>
              <a:latin typeface="Times New Roman"/>
              <a:cs typeface="Times New Roman"/>
            </a:rPr>
            <a:t>· Séance 5 : récupération 12 km - 70% VMA - (le 1000 m en 4’28,29)</a:t>
          </a:r>
        </a:p>
        <a:p>
          <a:pPr algn="l" rtl="0">
            <a:defRPr sz="1000"/>
          </a:pPr>
          <a:r>
            <a:rPr lang="fr-FR" sz="1200" b="0" i="0" u="none" strike="noStrike" baseline="0">
              <a:solidFill>
                <a:srgbClr val="000000"/>
              </a:solidFill>
              <a:latin typeface="Times New Roman"/>
              <a:cs typeface="Times New Roman"/>
            </a:rPr>
            <a:t>· Séance 6 : Test sur 3000 m (CAT test pour réajuster les temps des semaines 3 et 4) </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Semaine 3 :</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 Séance 1 : Capacité aérobie  45 minutes à 1 heure </a:t>
          </a:r>
        </a:p>
        <a:p>
          <a:pPr algn="l" rtl="0">
            <a:defRPr sz="1000"/>
          </a:pPr>
          <a:r>
            <a:rPr lang="fr-FR" sz="1200" b="0" i="0" u="none" strike="noStrike" baseline="0">
              <a:solidFill>
                <a:srgbClr val="000000"/>
              </a:solidFill>
              <a:latin typeface="Times New Roman"/>
              <a:cs typeface="Times New Roman"/>
            </a:rPr>
            <a:t>· Séance 2 :  seuil anaérobie   3000 m - 2000 m 1000 m (récupération 3’)</a:t>
          </a:r>
        </a:p>
        <a:p>
          <a:pPr algn="l" rtl="0">
            <a:defRPr sz="1000"/>
          </a:pPr>
          <a:r>
            <a:rPr lang="fr-FR" sz="1200" b="0" i="0" u="none" strike="noStrike" baseline="0">
              <a:solidFill>
                <a:srgbClr val="000000"/>
              </a:solidFill>
              <a:latin typeface="Times New Roman"/>
              <a:cs typeface="Times New Roman"/>
            </a:rPr>
            <a:t>· Séance 3 : récupération 1 heure - 70% VMA </a:t>
          </a:r>
        </a:p>
        <a:p>
          <a:pPr algn="l" rtl="0">
            <a:defRPr sz="1000"/>
          </a:pPr>
          <a:r>
            <a:rPr lang="fr-FR" sz="1200" b="0" i="0" u="none" strike="noStrike" baseline="0">
              <a:solidFill>
                <a:srgbClr val="000000"/>
              </a:solidFill>
              <a:latin typeface="Times New Roman"/>
              <a:cs typeface="Times New Roman"/>
            </a:rPr>
            <a:t>· Séance 4 :VMA - 15 x 200 m  </a:t>
          </a:r>
        </a:p>
        <a:p>
          <a:pPr algn="l" rtl="0">
            <a:defRPr sz="1000"/>
          </a:pPr>
          <a:r>
            <a:rPr lang="fr-FR" sz="1200" b="0" i="0" u="none" strike="noStrike" baseline="0">
              <a:solidFill>
                <a:srgbClr val="000000"/>
              </a:solidFill>
              <a:latin typeface="Times New Roman"/>
              <a:cs typeface="Times New Roman"/>
            </a:rPr>
            <a:t>· Séance 5 : récupération 1 heure - 70% VMA  </a:t>
          </a:r>
        </a:p>
        <a:p>
          <a:pPr algn="l" rtl="0">
            <a:defRPr sz="1000"/>
          </a:pPr>
          <a:r>
            <a:rPr lang="fr-FR" sz="1200" b="0" i="0" u="none" strike="noStrike" baseline="0">
              <a:solidFill>
                <a:srgbClr val="000000"/>
              </a:solidFill>
              <a:latin typeface="Times New Roman"/>
              <a:cs typeface="Times New Roman"/>
            </a:rPr>
            <a:t>· Séance 6 : capacité aérobie  30 ‘ suivi de 45’ d’entretien</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Semaine 4 :</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 Séance 1 : Entretien 1 heure</a:t>
          </a:r>
        </a:p>
        <a:p>
          <a:pPr algn="l" rtl="0">
            <a:defRPr sz="1000"/>
          </a:pPr>
          <a:r>
            <a:rPr lang="fr-FR" sz="1200" b="0" i="0" u="none" strike="noStrike" baseline="0">
              <a:solidFill>
                <a:srgbClr val="000000"/>
              </a:solidFill>
              <a:latin typeface="Times New Roman"/>
              <a:cs typeface="Times New Roman"/>
            </a:rPr>
            <a:t>· Séance 2 :  VMA : 5 x 800 m</a:t>
          </a:r>
        </a:p>
        <a:p>
          <a:pPr algn="l" rtl="0">
            <a:defRPr sz="1000"/>
          </a:pPr>
          <a:r>
            <a:rPr lang="fr-FR" sz="1200" b="0" i="0" u="none" strike="noStrike" baseline="0">
              <a:solidFill>
                <a:srgbClr val="000000"/>
              </a:solidFill>
              <a:latin typeface="Times New Roman"/>
              <a:cs typeface="Times New Roman"/>
            </a:rPr>
            <a:t>· Séance 3 : récupération 50’</a:t>
          </a:r>
        </a:p>
        <a:p>
          <a:pPr algn="l" rtl="0">
            <a:defRPr sz="1000"/>
          </a:pPr>
          <a:r>
            <a:rPr lang="fr-FR" sz="1200" b="0" i="0" u="none" strike="noStrike" baseline="0">
              <a:solidFill>
                <a:srgbClr val="000000"/>
              </a:solidFill>
              <a:latin typeface="Times New Roman"/>
              <a:cs typeface="Times New Roman"/>
            </a:rPr>
            <a:t>· Séance 4 : 30 ‘ capacité aérobie - VMA : 5 x 100 m - 45’ d’entretien  </a:t>
          </a:r>
        </a:p>
        <a:p>
          <a:pPr algn="l" rtl="0">
            <a:defRPr sz="1000"/>
          </a:pPr>
          <a:r>
            <a:rPr lang="fr-FR" sz="1200" b="0" i="0" u="none" strike="noStrike" baseline="0">
              <a:solidFill>
                <a:srgbClr val="000000"/>
              </a:solidFill>
              <a:latin typeface="Times New Roman"/>
              <a:cs typeface="Times New Roman"/>
            </a:rPr>
            <a:t>· Séance 5 :  Compétition  sur 10 km</a:t>
          </a:r>
        </a:p>
        <a:p>
          <a:pPr algn="l" rtl="0">
            <a:defRPr sz="1000"/>
          </a:pPr>
          <a:endParaRPr lang="fr-FR" sz="1200" b="0" i="0" u="none" strike="noStrike" baseline="0">
            <a:solidFill>
              <a:srgbClr val="000000"/>
            </a:solidFill>
            <a:latin typeface="Times New Roman"/>
            <a:cs typeface="Times New Roman"/>
          </a:endParaRPr>
        </a:p>
        <a:p>
          <a:pPr algn="l" rtl="0">
            <a:defRPr sz="1000"/>
          </a:pPr>
          <a:endParaRPr lang="fr-FR" sz="1200" b="0" i="0" u="none" strike="noStrike" baseline="0">
            <a:solidFill>
              <a:srgbClr val="000000"/>
            </a:solidFill>
            <a:latin typeface="Times New Roman"/>
            <a:cs typeface="Times New Roman"/>
          </a:endParaRPr>
        </a:p>
        <a:p>
          <a:pPr algn="l" rtl="0">
            <a:defRPr sz="1000"/>
          </a:pPr>
          <a:endParaRPr lang="fr-FR" sz="1200" b="0" i="0" u="none" strike="noStrike" baseline="0">
            <a:solidFill>
              <a:srgbClr val="000000"/>
            </a:solidFill>
            <a:latin typeface="Times New Roman"/>
            <a:cs typeface="Times New Roman"/>
          </a:endParaRPr>
        </a:p>
      </xdr:txBody>
    </xdr:sp>
    <xdr:clientData/>
  </xdr:twoCellAnchor>
  <xdr:twoCellAnchor>
    <xdr:from>
      <xdr:col>6</xdr:col>
      <xdr:colOff>428625</xdr:colOff>
      <xdr:row>128</xdr:row>
      <xdr:rowOff>38100</xdr:rowOff>
    </xdr:from>
    <xdr:to>
      <xdr:col>6</xdr:col>
      <xdr:colOff>428625</xdr:colOff>
      <xdr:row>128</xdr:row>
      <xdr:rowOff>219075</xdr:rowOff>
    </xdr:to>
    <xdr:sp macro="" textlink="">
      <xdr:nvSpPr>
        <xdr:cNvPr id="30726" name="Line 6"/>
        <xdr:cNvSpPr>
          <a:spLocks noChangeShapeType="1"/>
        </xdr:cNvSpPr>
      </xdr:nvSpPr>
      <xdr:spPr bwMode="auto">
        <a:xfrm>
          <a:off x="5886450" y="26184225"/>
          <a:ext cx="0" cy="180975"/>
        </a:xfrm>
        <a:prstGeom prst="line">
          <a:avLst/>
        </a:prstGeom>
        <a:noFill/>
        <a:ln w="9525">
          <a:solidFill>
            <a:srgbClr val="000000"/>
          </a:solidFill>
          <a:round/>
          <a:headEnd/>
          <a:tailEnd type="triangle" w="med" len="med"/>
        </a:ln>
      </xdr:spPr>
    </xdr:sp>
    <xdr:clientData/>
  </xdr:twoCellAnchor>
  <xdr:twoCellAnchor>
    <xdr:from>
      <xdr:col>7</xdr:col>
      <xdr:colOff>219075</xdr:colOff>
      <xdr:row>80</xdr:row>
      <xdr:rowOff>28575</xdr:rowOff>
    </xdr:from>
    <xdr:to>
      <xdr:col>7</xdr:col>
      <xdr:colOff>219075</xdr:colOff>
      <xdr:row>81</xdr:row>
      <xdr:rowOff>200025</xdr:rowOff>
    </xdr:to>
    <xdr:sp macro="" textlink="">
      <xdr:nvSpPr>
        <xdr:cNvPr id="30731" name="Line 11"/>
        <xdr:cNvSpPr>
          <a:spLocks noChangeShapeType="1"/>
        </xdr:cNvSpPr>
      </xdr:nvSpPr>
      <xdr:spPr bwMode="auto">
        <a:xfrm>
          <a:off x="6515100" y="16316325"/>
          <a:ext cx="0" cy="371475"/>
        </a:xfrm>
        <a:prstGeom prst="line">
          <a:avLst/>
        </a:prstGeom>
        <a:noFill/>
        <a:ln w="9525">
          <a:solidFill>
            <a:srgbClr val="000000"/>
          </a:solidFill>
          <a:round/>
          <a:headEnd/>
          <a:tailEnd type="triangle" w="med" len="me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xdr:colOff>
      <xdr:row>1</xdr:row>
      <xdr:rowOff>28575</xdr:rowOff>
    </xdr:from>
    <xdr:to>
      <xdr:col>5</xdr:col>
      <xdr:colOff>0</xdr:colOff>
      <xdr:row>5</xdr:row>
      <xdr:rowOff>161925</xdr:rowOff>
    </xdr:to>
    <xdr:sp macro="" textlink="">
      <xdr:nvSpPr>
        <xdr:cNvPr id="33793" name="Text Box 1"/>
        <xdr:cNvSpPr txBox="1">
          <a:spLocks noChangeArrowheads="1"/>
        </xdr:cNvSpPr>
      </xdr:nvSpPr>
      <xdr:spPr bwMode="auto">
        <a:xfrm>
          <a:off x="19050" y="323850"/>
          <a:ext cx="4086225" cy="93345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fr-FR" sz="1200" b="0" i="1" u="none" strike="noStrike" baseline="0">
              <a:solidFill>
                <a:srgbClr val="000000"/>
              </a:solidFill>
              <a:latin typeface="Times New Roman"/>
              <a:cs typeface="Times New Roman"/>
            </a:rPr>
            <a:t>Travailler plus longtemps et plus efficacement sa VO2Max,  tout en limitant les risques de blessure, (durée courte donc  moins de fatigue), avec des séries plus nombreuses (donc plus de temps dans la zone de travail) et ceci de manière personnalisée.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114300</xdr:colOff>
      <xdr:row>28</xdr:row>
      <xdr:rowOff>47625</xdr:rowOff>
    </xdr:from>
    <xdr:to>
      <xdr:col>4</xdr:col>
      <xdr:colOff>1409700</xdr:colOff>
      <xdr:row>47</xdr:row>
      <xdr:rowOff>123825</xdr:rowOff>
    </xdr:to>
    <xdr:graphicFrame macro="">
      <xdr:nvGraphicFramePr>
        <xdr:cNvPr id="348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81</xdr:row>
      <xdr:rowOff>38100</xdr:rowOff>
    </xdr:from>
    <xdr:to>
      <xdr:col>12</xdr:col>
      <xdr:colOff>438150</xdr:colOff>
      <xdr:row>84</xdr:row>
      <xdr:rowOff>114300</xdr:rowOff>
    </xdr:to>
    <xdr:sp macro="" textlink="">
      <xdr:nvSpPr>
        <xdr:cNvPr id="10246" name="Text Box 6"/>
        <xdr:cNvSpPr txBox="1">
          <a:spLocks noChangeArrowheads="1"/>
        </xdr:cNvSpPr>
      </xdr:nvSpPr>
      <xdr:spPr bwMode="auto">
        <a:xfrm>
          <a:off x="76200" y="18164175"/>
          <a:ext cx="6619875" cy="6762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fr-FR" sz="1200" b="0" i="0" u="none" strike="noStrike" baseline="0">
              <a:solidFill>
                <a:srgbClr val="000000"/>
              </a:solidFill>
              <a:latin typeface="Times New Roman"/>
              <a:cs typeface="Times New Roman"/>
            </a:rPr>
            <a:t>On dit que le palier est atteint lorsqu'on arrive au début du suivant : exemple pour avoir une VMA de 15km/h, il faut avoir fini le palier 14 complètement (16 minutes ici).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533400</xdr:colOff>
      <xdr:row>9</xdr:row>
      <xdr:rowOff>85725</xdr:rowOff>
    </xdr:from>
    <xdr:to>
      <xdr:col>3</xdr:col>
      <xdr:colOff>809625</xdr:colOff>
      <xdr:row>9</xdr:row>
      <xdr:rowOff>85725</xdr:rowOff>
    </xdr:to>
    <xdr:sp macro="" textlink="">
      <xdr:nvSpPr>
        <xdr:cNvPr id="1050" name="Line 26"/>
        <xdr:cNvSpPr>
          <a:spLocks noChangeShapeType="1"/>
        </xdr:cNvSpPr>
      </xdr:nvSpPr>
      <xdr:spPr bwMode="auto">
        <a:xfrm flipH="1">
          <a:off x="3352800" y="1990725"/>
          <a:ext cx="276225" cy="0"/>
        </a:xfrm>
        <a:prstGeom prst="line">
          <a:avLst/>
        </a:prstGeom>
        <a:noFill/>
        <a:ln w="9525">
          <a:solidFill>
            <a:srgbClr val="0000FF"/>
          </a:solidFill>
          <a:round/>
          <a:headEnd/>
          <a:tailEnd type="triangle" w="med" len="med"/>
        </a:ln>
      </xdr:spPr>
    </xdr:sp>
    <xdr:clientData/>
  </xdr:twoCellAnchor>
  <xdr:twoCellAnchor>
    <xdr:from>
      <xdr:col>3</xdr:col>
      <xdr:colOff>542925</xdr:colOff>
      <xdr:row>9</xdr:row>
      <xdr:rowOff>85725</xdr:rowOff>
    </xdr:from>
    <xdr:to>
      <xdr:col>3</xdr:col>
      <xdr:colOff>542925</xdr:colOff>
      <xdr:row>24</xdr:row>
      <xdr:rowOff>123825</xdr:rowOff>
    </xdr:to>
    <xdr:sp macro="" textlink="">
      <xdr:nvSpPr>
        <xdr:cNvPr id="1051" name="Line 27"/>
        <xdr:cNvSpPr>
          <a:spLocks noChangeShapeType="1"/>
        </xdr:cNvSpPr>
      </xdr:nvSpPr>
      <xdr:spPr bwMode="auto">
        <a:xfrm>
          <a:off x="3362325" y="1990725"/>
          <a:ext cx="0" cy="3057525"/>
        </a:xfrm>
        <a:prstGeom prst="line">
          <a:avLst/>
        </a:prstGeom>
        <a:noFill/>
        <a:ln w="9525">
          <a:solidFill>
            <a:srgbClr val="0000FF"/>
          </a:solidFill>
          <a:round/>
          <a:headEnd/>
          <a:tailEnd type="triangle" w="med" len="med"/>
        </a:ln>
      </xdr:spPr>
    </xdr:sp>
    <xdr:clientData/>
  </xdr:twoCellAnchor>
  <xdr:twoCellAnchor>
    <xdr:from>
      <xdr:col>3</xdr:col>
      <xdr:colOff>581025</xdr:colOff>
      <xdr:row>24</xdr:row>
      <xdr:rowOff>76200</xdr:rowOff>
    </xdr:from>
    <xdr:to>
      <xdr:col>4</xdr:col>
      <xdr:colOff>885825</xdr:colOff>
      <xdr:row>24</xdr:row>
      <xdr:rowOff>76200</xdr:rowOff>
    </xdr:to>
    <xdr:sp macro="" textlink="">
      <xdr:nvSpPr>
        <xdr:cNvPr id="1053" name="Line 29"/>
        <xdr:cNvSpPr>
          <a:spLocks noChangeShapeType="1"/>
        </xdr:cNvSpPr>
      </xdr:nvSpPr>
      <xdr:spPr bwMode="auto">
        <a:xfrm>
          <a:off x="3400425" y="5000625"/>
          <a:ext cx="1143000" cy="0"/>
        </a:xfrm>
        <a:prstGeom prst="line">
          <a:avLst/>
        </a:prstGeom>
        <a:noFill/>
        <a:ln w="9525">
          <a:solidFill>
            <a:srgbClr val="0000FF"/>
          </a:solidFill>
          <a:round/>
          <a:headEnd/>
          <a:tailEnd type="triangle" w="med" len="med"/>
        </a:ln>
      </xdr:spPr>
    </xdr:sp>
    <xdr:clientData/>
  </xdr:twoCellAnchor>
  <xdr:twoCellAnchor>
    <xdr:from>
      <xdr:col>5</xdr:col>
      <xdr:colOff>600075</xdr:colOff>
      <xdr:row>21</xdr:row>
      <xdr:rowOff>0</xdr:rowOff>
    </xdr:from>
    <xdr:to>
      <xdr:col>6</xdr:col>
      <xdr:colOff>238125</xdr:colOff>
      <xdr:row>23</xdr:row>
      <xdr:rowOff>142875</xdr:rowOff>
    </xdr:to>
    <xdr:sp macro="" textlink="">
      <xdr:nvSpPr>
        <xdr:cNvPr id="1054" name="Line 30"/>
        <xdr:cNvSpPr>
          <a:spLocks noChangeShapeType="1"/>
        </xdr:cNvSpPr>
      </xdr:nvSpPr>
      <xdr:spPr bwMode="auto">
        <a:xfrm flipH="1">
          <a:off x="5581650" y="4324350"/>
          <a:ext cx="628650" cy="542925"/>
        </a:xfrm>
        <a:prstGeom prst="line">
          <a:avLst/>
        </a:prstGeom>
        <a:noFill/>
        <a:ln w="9525">
          <a:solidFill>
            <a:srgbClr val="0000FF"/>
          </a:solidFill>
          <a:round/>
          <a:headEnd/>
          <a:tailEnd type="triangle" w="med" len="med"/>
        </a:ln>
      </xdr:spPr>
    </xdr:sp>
    <xdr:clientData/>
  </xdr:twoCellAnchor>
  <xdr:twoCellAnchor>
    <xdr:from>
      <xdr:col>3</xdr:col>
      <xdr:colOff>47625</xdr:colOff>
      <xdr:row>7</xdr:row>
      <xdr:rowOff>114300</xdr:rowOff>
    </xdr:from>
    <xdr:to>
      <xdr:col>3</xdr:col>
      <xdr:colOff>790575</xdr:colOff>
      <xdr:row>8</xdr:row>
      <xdr:rowOff>114300</xdr:rowOff>
    </xdr:to>
    <xdr:sp macro="" textlink="">
      <xdr:nvSpPr>
        <xdr:cNvPr id="1059" name="Line 35"/>
        <xdr:cNvSpPr>
          <a:spLocks noChangeShapeType="1"/>
        </xdr:cNvSpPr>
      </xdr:nvSpPr>
      <xdr:spPr bwMode="auto">
        <a:xfrm flipV="1">
          <a:off x="2867025" y="1619250"/>
          <a:ext cx="742950" cy="200025"/>
        </a:xfrm>
        <a:prstGeom prst="line">
          <a:avLst/>
        </a:prstGeom>
        <a:noFill/>
        <a:ln w="9525">
          <a:solidFill>
            <a:srgbClr val="FF0000"/>
          </a:solidFill>
          <a:round/>
          <a:headEnd/>
          <a:tailEnd type="triangle" w="med" len="med"/>
        </a:ln>
      </xdr:spPr>
    </xdr:sp>
    <xdr:clientData/>
  </xdr:twoCellAnchor>
  <xdr:twoCellAnchor>
    <xdr:from>
      <xdr:col>3</xdr:col>
      <xdr:colOff>38100</xdr:colOff>
      <xdr:row>8</xdr:row>
      <xdr:rowOff>114300</xdr:rowOff>
    </xdr:from>
    <xdr:to>
      <xdr:col>3</xdr:col>
      <xdr:colOff>38100</xdr:colOff>
      <xdr:row>43</xdr:row>
      <xdr:rowOff>0</xdr:rowOff>
    </xdr:to>
    <xdr:sp macro="" textlink="">
      <xdr:nvSpPr>
        <xdr:cNvPr id="1061" name="Line 37"/>
        <xdr:cNvSpPr>
          <a:spLocks noChangeShapeType="1"/>
        </xdr:cNvSpPr>
      </xdr:nvSpPr>
      <xdr:spPr bwMode="auto">
        <a:xfrm>
          <a:off x="2857500" y="1819275"/>
          <a:ext cx="0" cy="6905625"/>
        </a:xfrm>
        <a:prstGeom prst="line">
          <a:avLst/>
        </a:prstGeom>
        <a:noFill/>
        <a:ln w="9525">
          <a:solidFill>
            <a:srgbClr val="FF0000"/>
          </a:solidFill>
          <a:round/>
          <a:headEnd type="triangle" w="med" len="med"/>
          <a:tailEnd type="triangle" w="med" len="med"/>
        </a:ln>
      </xdr:spPr>
    </xdr:sp>
    <xdr:clientData/>
  </xdr:twoCellAnchor>
  <xdr:twoCellAnchor>
    <xdr:from>
      <xdr:col>3</xdr:col>
      <xdr:colOff>9525</xdr:colOff>
      <xdr:row>80</xdr:row>
      <xdr:rowOff>104775</xdr:rowOff>
    </xdr:from>
    <xdr:to>
      <xdr:col>3</xdr:col>
      <xdr:colOff>828675</xdr:colOff>
      <xdr:row>80</xdr:row>
      <xdr:rowOff>104775</xdr:rowOff>
    </xdr:to>
    <xdr:sp macro="" textlink="">
      <xdr:nvSpPr>
        <xdr:cNvPr id="1062" name="Line 38"/>
        <xdr:cNvSpPr>
          <a:spLocks noChangeShapeType="1"/>
        </xdr:cNvSpPr>
      </xdr:nvSpPr>
      <xdr:spPr bwMode="auto">
        <a:xfrm>
          <a:off x="2828925" y="16325850"/>
          <a:ext cx="819150" cy="0"/>
        </a:xfrm>
        <a:prstGeom prst="line">
          <a:avLst/>
        </a:prstGeom>
        <a:noFill/>
        <a:ln w="9525">
          <a:solidFill>
            <a:srgbClr val="000000"/>
          </a:solidFill>
          <a:round/>
          <a:headEnd/>
          <a:tailEnd type="triangle" w="med" len="med"/>
        </a:ln>
      </xdr:spPr>
    </xdr:sp>
    <xdr:clientData/>
  </xdr:twoCellAnchor>
  <xdr:twoCellAnchor>
    <xdr:from>
      <xdr:col>3</xdr:col>
      <xdr:colOff>9525</xdr:colOff>
      <xdr:row>65</xdr:row>
      <xdr:rowOff>104775</xdr:rowOff>
    </xdr:from>
    <xdr:to>
      <xdr:col>4</xdr:col>
      <xdr:colOff>0</xdr:colOff>
      <xdr:row>65</xdr:row>
      <xdr:rowOff>104775</xdr:rowOff>
    </xdr:to>
    <xdr:sp macro="" textlink="">
      <xdr:nvSpPr>
        <xdr:cNvPr id="1063" name="Line 39"/>
        <xdr:cNvSpPr>
          <a:spLocks noChangeShapeType="1"/>
        </xdr:cNvSpPr>
      </xdr:nvSpPr>
      <xdr:spPr bwMode="auto">
        <a:xfrm>
          <a:off x="2828925" y="13325475"/>
          <a:ext cx="828675" cy="0"/>
        </a:xfrm>
        <a:prstGeom prst="line">
          <a:avLst/>
        </a:prstGeom>
        <a:noFill/>
        <a:ln w="9525">
          <a:solidFill>
            <a:srgbClr val="000000"/>
          </a:solidFill>
          <a:round/>
          <a:headEnd/>
          <a:tailEnd type="triangle" w="med" len="med"/>
        </a:ln>
      </xdr:spPr>
    </xdr:sp>
    <xdr:clientData/>
  </xdr:twoCellAnchor>
  <xdr:twoCellAnchor>
    <xdr:from>
      <xdr:col>3</xdr:col>
      <xdr:colOff>9525</xdr:colOff>
      <xdr:row>89</xdr:row>
      <xdr:rowOff>104775</xdr:rowOff>
    </xdr:from>
    <xdr:to>
      <xdr:col>3</xdr:col>
      <xdr:colOff>828675</xdr:colOff>
      <xdr:row>89</xdr:row>
      <xdr:rowOff>104775</xdr:rowOff>
    </xdr:to>
    <xdr:sp macro="" textlink="">
      <xdr:nvSpPr>
        <xdr:cNvPr id="1064" name="Line 40"/>
        <xdr:cNvSpPr>
          <a:spLocks noChangeShapeType="1"/>
        </xdr:cNvSpPr>
      </xdr:nvSpPr>
      <xdr:spPr bwMode="auto">
        <a:xfrm>
          <a:off x="2828925" y="18126075"/>
          <a:ext cx="819150" cy="0"/>
        </a:xfrm>
        <a:prstGeom prst="line">
          <a:avLst/>
        </a:prstGeom>
        <a:noFill/>
        <a:ln w="9525">
          <a:solidFill>
            <a:srgbClr val="000000"/>
          </a:solidFill>
          <a:round/>
          <a:headEnd/>
          <a:tailEnd type="triangle" w="med" len="med"/>
        </a:ln>
      </xdr:spPr>
    </xdr:sp>
    <xdr:clientData/>
  </xdr:twoCellAnchor>
  <xdr:twoCellAnchor>
    <xdr:from>
      <xdr:col>3</xdr:col>
      <xdr:colOff>9525</xdr:colOff>
      <xdr:row>100</xdr:row>
      <xdr:rowOff>104775</xdr:rowOff>
    </xdr:from>
    <xdr:to>
      <xdr:col>3</xdr:col>
      <xdr:colOff>809625</xdr:colOff>
      <xdr:row>100</xdr:row>
      <xdr:rowOff>104775</xdr:rowOff>
    </xdr:to>
    <xdr:sp macro="" textlink="">
      <xdr:nvSpPr>
        <xdr:cNvPr id="1065" name="Line 41"/>
        <xdr:cNvSpPr>
          <a:spLocks noChangeShapeType="1"/>
        </xdr:cNvSpPr>
      </xdr:nvSpPr>
      <xdr:spPr bwMode="auto">
        <a:xfrm>
          <a:off x="2828925" y="20345400"/>
          <a:ext cx="800100" cy="0"/>
        </a:xfrm>
        <a:prstGeom prst="line">
          <a:avLst/>
        </a:prstGeom>
        <a:noFill/>
        <a:ln w="9525">
          <a:solidFill>
            <a:srgbClr val="000000"/>
          </a:solidFill>
          <a:round/>
          <a:headEnd/>
          <a:tailEnd type="triangle" w="med" len="med"/>
        </a:ln>
      </xdr:spPr>
    </xdr:sp>
    <xdr:clientData/>
  </xdr:twoCellAnchor>
  <xdr:twoCellAnchor>
    <xdr:from>
      <xdr:col>3</xdr:col>
      <xdr:colOff>0</xdr:colOff>
      <xdr:row>104</xdr:row>
      <xdr:rowOff>114300</xdr:rowOff>
    </xdr:from>
    <xdr:to>
      <xdr:col>4</xdr:col>
      <xdr:colOff>9525</xdr:colOff>
      <xdr:row>104</xdr:row>
      <xdr:rowOff>114300</xdr:rowOff>
    </xdr:to>
    <xdr:sp macro="" textlink="">
      <xdr:nvSpPr>
        <xdr:cNvPr id="1066" name="Line 42"/>
        <xdr:cNvSpPr>
          <a:spLocks noChangeShapeType="1"/>
        </xdr:cNvSpPr>
      </xdr:nvSpPr>
      <xdr:spPr bwMode="auto">
        <a:xfrm>
          <a:off x="2819400" y="21155025"/>
          <a:ext cx="847725" cy="0"/>
        </a:xfrm>
        <a:prstGeom prst="line">
          <a:avLst/>
        </a:prstGeom>
        <a:noFill/>
        <a:ln w="9525">
          <a:solidFill>
            <a:srgbClr val="000000"/>
          </a:solidFill>
          <a:round/>
          <a:headEnd/>
          <a:tailEnd type="triangle" w="med" len="med"/>
        </a:ln>
      </xdr:spPr>
    </xdr:sp>
    <xdr:clientData/>
  </xdr:twoCellAnchor>
  <xdr:twoCellAnchor>
    <xdr:from>
      <xdr:col>3</xdr:col>
      <xdr:colOff>38100</xdr:colOff>
      <xdr:row>73</xdr:row>
      <xdr:rowOff>47625</xdr:rowOff>
    </xdr:from>
    <xdr:to>
      <xdr:col>7</xdr:col>
      <xdr:colOff>0</xdr:colOff>
      <xdr:row>76</xdr:row>
      <xdr:rowOff>28575</xdr:rowOff>
    </xdr:to>
    <xdr:sp macro="" textlink="">
      <xdr:nvSpPr>
        <xdr:cNvPr id="1067" name="Text Box 43"/>
        <xdr:cNvSpPr txBox="1">
          <a:spLocks noChangeArrowheads="1"/>
        </xdr:cNvSpPr>
      </xdr:nvSpPr>
      <xdr:spPr bwMode="auto">
        <a:xfrm>
          <a:off x="2857500" y="14868525"/>
          <a:ext cx="3857625" cy="58102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fr-FR" sz="1200" b="0" i="1" u="none" strike="noStrike" baseline="0">
              <a:solidFill>
                <a:srgbClr val="000000"/>
              </a:solidFill>
              <a:latin typeface="Times New Roman"/>
              <a:cs typeface="Times New Roman"/>
            </a:rPr>
            <a:t>La séance s'arrête lorsque vous ne pouvez plus enchaîner correctement la course et la récupération, en respectant les distances calculées (écart max de 2 mètres).</a:t>
          </a:r>
        </a:p>
      </xdr:txBody>
    </xdr:sp>
    <xdr:clientData/>
  </xdr:twoCellAnchor>
  <xdr:twoCellAnchor>
    <xdr:from>
      <xdr:col>3</xdr:col>
      <xdr:colOff>28575</xdr:colOff>
      <xdr:row>65</xdr:row>
      <xdr:rowOff>114300</xdr:rowOff>
    </xdr:from>
    <xdr:to>
      <xdr:col>3</xdr:col>
      <xdr:colOff>800100</xdr:colOff>
      <xdr:row>65</xdr:row>
      <xdr:rowOff>114300</xdr:rowOff>
    </xdr:to>
    <xdr:sp macro="" textlink="">
      <xdr:nvSpPr>
        <xdr:cNvPr id="1068" name="Line 44"/>
        <xdr:cNvSpPr>
          <a:spLocks noChangeShapeType="1"/>
        </xdr:cNvSpPr>
      </xdr:nvSpPr>
      <xdr:spPr bwMode="auto">
        <a:xfrm>
          <a:off x="2847975" y="13335000"/>
          <a:ext cx="771525" cy="0"/>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466725</xdr:colOff>
      <xdr:row>15</xdr:row>
      <xdr:rowOff>123825</xdr:rowOff>
    </xdr:from>
    <xdr:to>
      <xdr:col>5</xdr:col>
      <xdr:colOff>9525</xdr:colOff>
      <xdr:row>20</xdr:row>
      <xdr:rowOff>9525</xdr:rowOff>
    </xdr:to>
    <xdr:sp macro="" textlink="">
      <xdr:nvSpPr>
        <xdr:cNvPr id="14347" name="Line 11"/>
        <xdr:cNvSpPr>
          <a:spLocks noChangeShapeType="1"/>
        </xdr:cNvSpPr>
      </xdr:nvSpPr>
      <xdr:spPr bwMode="auto">
        <a:xfrm flipV="1">
          <a:off x="3819525" y="3124200"/>
          <a:ext cx="571500" cy="885825"/>
        </a:xfrm>
        <a:prstGeom prst="line">
          <a:avLst/>
        </a:prstGeom>
        <a:noFill/>
        <a:ln w="9525">
          <a:solidFill>
            <a:srgbClr val="000000"/>
          </a:solidFill>
          <a:round/>
          <a:headEnd/>
          <a:tailEnd type="triangle" w="med" len="med"/>
        </a:ln>
      </xdr:spPr>
    </xdr:sp>
    <xdr:clientData/>
  </xdr:twoCellAnchor>
  <xdr:twoCellAnchor>
    <xdr:from>
      <xdr:col>3</xdr:col>
      <xdr:colOff>0</xdr:colOff>
      <xdr:row>15</xdr:row>
      <xdr:rowOff>9525</xdr:rowOff>
    </xdr:from>
    <xdr:to>
      <xdr:col>4</xdr:col>
      <xdr:colOff>28575</xdr:colOff>
      <xdr:row>20</xdr:row>
      <xdr:rowOff>28575</xdr:rowOff>
    </xdr:to>
    <xdr:sp macro="" textlink="">
      <xdr:nvSpPr>
        <xdr:cNvPr id="14348" name="Line 12"/>
        <xdr:cNvSpPr>
          <a:spLocks noChangeShapeType="1"/>
        </xdr:cNvSpPr>
      </xdr:nvSpPr>
      <xdr:spPr bwMode="auto">
        <a:xfrm>
          <a:off x="2514600" y="3009900"/>
          <a:ext cx="866775" cy="1019175"/>
        </a:xfrm>
        <a:prstGeom prst="line">
          <a:avLst/>
        </a:prstGeom>
        <a:noFill/>
        <a:ln w="9525">
          <a:solidFill>
            <a:srgbClr val="000000"/>
          </a:solidFill>
          <a:round/>
          <a:headEnd/>
          <a:tailEnd type="triangle" w="med" len="med"/>
        </a:ln>
      </xdr:spPr>
    </xdr:sp>
    <xdr:clientData/>
  </xdr:twoCellAnchor>
  <xdr:twoCellAnchor>
    <xdr:from>
      <xdr:col>4</xdr:col>
      <xdr:colOff>723900</xdr:colOff>
      <xdr:row>5</xdr:row>
      <xdr:rowOff>38100</xdr:rowOff>
    </xdr:from>
    <xdr:to>
      <xdr:col>4</xdr:col>
      <xdr:colOff>1019175</xdr:colOff>
      <xdr:row>5</xdr:row>
      <xdr:rowOff>142875</xdr:rowOff>
    </xdr:to>
    <xdr:sp macro="" textlink="">
      <xdr:nvSpPr>
        <xdr:cNvPr id="14349" name="Line 13"/>
        <xdr:cNvSpPr>
          <a:spLocks noChangeShapeType="1"/>
        </xdr:cNvSpPr>
      </xdr:nvSpPr>
      <xdr:spPr bwMode="auto">
        <a:xfrm>
          <a:off x="4076700" y="1038225"/>
          <a:ext cx="295275" cy="104775"/>
        </a:xfrm>
        <a:prstGeom prst="line">
          <a:avLst/>
        </a:prstGeom>
        <a:noFill/>
        <a:ln w="9525">
          <a:solidFill>
            <a:srgbClr val="000000"/>
          </a:solidFill>
          <a:round/>
          <a:headEnd/>
          <a:tailEnd type="triangle" w="med" len="med"/>
        </a:ln>
      </xdr:spPr>
    </xdr:sp>
    <xdr:clientData/>
  </xdr:twoCellAnchor>
  <xdr:twoCellAnchor>
    <xdr:from>
      <xdr:col>4</xdr:col>
      <xdr:colOff>895350</xdr:colOff>
      <xdr:row>4</xdr:row>
      <xdr:rowOff>152400</xdr:rowOff>
    </xdr:from>
    <xdr:to>
      <xdr:col>6</xdr:col>
      <xdr:colOff>276225</xdr:colOff>
      <xdr:row>8</xdr:row>
      <xdr:rowOff>47625</xdr:rowOff>
    </xdr:to>
    <xdr:sp macro="" textlink="">
      <xdr:nvSpPr>
        <xdr:cNvPr id="14351" name="Line 15"/>
        <xdr:cNvSpPr>
          <a:spLocks noChangeShapeType="1"/>
        </xdr:cNvSpPr>
      </xdr:nvSpPr>
      <xdr:spPr bwMode="auto">
        <a:xfrm flipV="1">
          <a:off x="4248150" y="952500"/>
          <a:ext cx="1133475" cy="695325"/>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0</xdr:row>
      <xdr:rowOff>0</xdr:rowOff>
    </xdr:from>
    <xdr:to>
      <xdr:col>10</xdr:col>
      <xdr:colOff>809625</xdr:colOff>
      <xdr:row>32</xdr:row>
      <xdr:rowOff>142875</xdr:rowOff>
    </xdr:to>
    <xdr:graphicFrame macro="">
      <xdr:nvGraphicFramePr>
        <xdr:cNvPr id="71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9525</xdr:rowOff>
    </xdr:from>
    <xdr:to>
      <xdr:col>10</xdr:col>
      <xdr:colOff>828675</xdr:colOff>
      <xdr:row>63</xdr:row>
      <xdr:rowOff>180975</xdr:rowOff>
    </xdr:to>
    <xdr:graphicFrame macro="">
      <xdr:nvGraphicFramePr>
        <xdr:cNvPr id="717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381000</xdr:colOff>
      <xdr:row>73</xdr:row>
      <xdr:rowOff>19050</xdr:rowOff>
    </xdr:from>
    <xdr:to>
      <xdr:col>2</xdr:col>
      <xdr:colOff>381000</xdr:colOff>
      <xdr:row>73</xdr:row>
      <xdr:rowOff>171450</xdr:rowOff>
    </xdr:to>
    <xdr:sp macro="" textlink="">
      <xdr:nvSpPr>
        <xdr:cNvPr id="7176" name="Line 8"/>
        <xdr:cNvSpPr>
          <a:spLocks noChangeShapeType="1"/>
        </xdr:cNvSpPr>
      </xdr:nvSpPr>
      <xdr:spPr bwMode="auto">
        <a:xfrm>
          <a:off x="2057400" y="14982825"/>
          <a:ext cx="0" cy="152400"/>
        </a:xfrm>
        <a:prstGeom prst="line">
          <a:avLst/>
        </a:prstGeom>
        <a:noFill/>
        <a:ln w="9525">
          <a:solidFill>
            <a:srgbClr val="000000"/>
          </a:solidFill>
          <a:round/>
          <a:headEnd/>
          <a:tailEnd type="triangle" w="med" len="med"/>
        </a:ln>
      </xdr:spPr>
    </xdr:sp>
    <xdr:clientData/>
  </xdr:twoCellAnchor>
  <xdr:twoCellAnchor>
    <xdr:from>
      <xdr:col>6</xdr:col>
      <xdr:colOff>381000</xdr:colOff>
      <xdr:row>73</xdr:row>
      <xdr:rowOff>19050</xdr:rowOff>
    </xdr:from>
    <xdr:to>
      <xdr:col>6</xdr:col>
      <xdr:colOff>381000</xdr:colOff>
      <xdr:row>73</xdr:row>
      <xdr:rowOff>171450</xdr:rowOff>
    </xdr:to>
    <xdr:sp macro="" textlink="">
      <xdr:nvSpPr>
        <xdr:cNvPr id="7177" name="Line 9"/>
        <xdr:cNvSpPr>
          <a:spLocks noChangeShapeType="1"/>
        </xdr:cNvSpPr>
      </xdr:nvSpPr>
      <xdr:spPr bwMode="auto">
        <a:xfrm>
          <a:off x="5410200" y="14982825"/>
          <a:ext cx="0" cy="152400"/>
        </a:xfrm>
        <a:prstGeom prst="line">
          <a:avLst/>
        </a:prstGeom>
        <a:noFill/>
        <a:ln w="9525">
          <a:solidFill>
            <a:srgbClr val="000000"/>
          </a:solidFill>
          <a:round/>
          <a:headEnd/>
          <a:tailEnd type="triangle" w="med" len="med"/>
        </a:ln>
      </xdr:spPr>
    </xdr:sp>
    <xdr:clientData/>
  </xdr:twoCellAnchor>
</xdr:wsDr>
</file>

<file path=xl/drawings/drawing6.xml><?xml version="1.0" encoding="utf-8"?>
<c:userShapes xmlns:c="http://schemas.openxmlformats.org/drawingml/2006/chart">
  <cdr:relSizeAnchor xmlns:cdr="http://schemas.openxmlformats.org/drawingml/2006/chartDrawing">
    <cdr:from>
      <cdr:x>0.28943</cdr:x>
      <cdr:y>0.12405</cdr:y>
    </cdr:from>
    <cdr:to>
      <cdr:x>0.38977</cdr:x>
      <cdr:y>0.16026</cdr:y>
    </cdr:to>
    <cdr:sp macro="" textlink="Programme!$G$11">
      <cdr:nvSpPr>
        <cdr:cNvPr id="15363" name="Text Box 3"/>
        <cdr:cNvSpPr txBox="1">
          <a:spLocks xmlns:a="http://schemas.openxmlformats.org/drawingml/2006/main" noChangeArrowheads="1" noTextEdit="1"/>
        </cdr:cNvSpPr>
      </cdr:nvSpPr>
      <cdr:spPr bwMode="auto">
        <a:xfrm xmlns:a="http://schemas.openxmlformats.org/drawingml/2006/main">
          <a:off x="2418163" y="816067"/>
          <a:ext cx="837238" cy="23733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C0F8BA8B-2632-40B5-AC54-E9ED6C6EA55F}" type="TxLink">
            <a:rPr lang="fr-FR" sz="1200" b="1" i="0" u="none" strike="noStrike" baseline="0">
              <a:solidFill>
                <a:srgbClr val="FF0000"/>
              </a:solidFill>
              <a:latin typeface="Times New Roman"/>
              <a:cs typeface="Times New Roman"/>
            </a:rPr>
            <a:t>187</a:t>
          </a:fld>
          <a:endParaRPr lang="fr-FR" sz="1200" b="1" i="0" u="none" strike="noStrike" baseline="0">
            <a:solidFill>
              <a:srgbClr val="FF0000"/>
            </a:solidFill>
            <a:latin typeface="Times New Roman"/>
            <a:cs typeface="Times New Roman"/>
          </a:endParaRPr>
        </a:p>
      </cdr:txBody>
    </cdr:sp>
  </cdr:relSizeAnchor>
  <cdr:relSizeAnchor xmlns:cdr="http://schemas.openxmlformats.org/drawingml/2006/chartDrawing">
    <cdr:from>
      <cdr:x>0.12126</cdr:x>
      <cdr:y>0.12514</cdr:y>
    </cdr:from>
    <cdr:to>
      <cdr:x>0.29077</cdr:x>
      <cdr:y>0.16065</cdr:y>
    </cdr:to>
    <cdr:sp macro="" textlink="Programme!$E$11">
      <cdr:nvSpPr>
        <cdr:cNvPr id="15364" name="Text Box 4"/>
        <cdr:cNvSpPr txBox="1">
          <a:spLocks xmlns:a="http://schemas.openxmlformats.org/drawingml/2006/main" noChangeArrowheads="1" noTextEdit="1"/>
        </cdr:cNvSpPr>
      </cdr:nvSpPr>
      <cdr:spPr bwMode="auto">
        <a:xfrm xmlns:a="http://schemas.openxmlformats.org/drawingml/2006/main">
          <a:off x="1010666" y="818854"/>
          <a:ext cx="1412759" cy="2323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27432" rIns="18288" bIns="27432" anchor="ctr" upright="1">
          <a:spAutoFit/>
        </a:bodyPr>
        <a:lstStyle xmlns:a="http://schemas.openxmlformats.org/drawingml/2006/main"/>
        <a:p xmlns:a="http://schemas.openxmlformats.org/drawingml/2006/main">
          <a:pPr algn="ctr" rtl="0">
            <a:defRPr sz="1000"/>
          </a:pPr>
          <a:fld id="{81DDE440-0FA5-40DF-B400-B939CB1D0F19}" type="TxLink">
            <a:rPr lang="fr-FR" sz="1200" b="1" i="0" u="none" strike="noStrike" baseline="0">
              <a:solidFill>
                <a:srgbClr val="FF0000"/>
              </a:solidFill>
              <a:latin typeface="Times New Roman"/>
              <a:cs typeface="Times New Roman"/>
            </a:rPr>
            <a:t>Fc maximale atteinte</a:t>
          </a:fld>
          <a:endParaRPr lang="fr-FR" sz="1200" b="1" i="0" u="none" strike="noStrike" baseline="0">
            <a:solidFill>
              <a:srgbClr val="FF0000"/>
            </a:solidFill>
            <a:latin typeface="Times New Roman"/>
            <a:cs typeface="Times New Roman"/>
          </a:endParaRPr>
        </a:p>
      </cdr:txBody>
    </cdr:sp>
  </cdr:relSizeAnchor>
  <cdr:relSizeAnchor xmlns:cdr="http://schemas.openxmlformats.org/drawingml/2006/chartDrawing">
    <cdr:from>
      <cdr:x>0.28943</cdr:x>
      <cdr:y>0.14203</cdr:y>
    </cdr:from>
    <cdr:to>
      <cdr:x>0.30945</cdr:x>
      <cdr:y>0.14203</cdr:y>
    </cdr:to>
    <cdr:sp macro="" textlink="">
      <cdr:nvSpPr>
        <cdr:cNvPr id="15365" name="Line 5"/>
        <cdr:cNvSpPr>
          <a:spLocks xmlns:a="http://schemas.openxmlformats.org/drawingml/2006/main" noChangeShapeType="1"/>
        </cdr:cNvSpPr>
      </cdr:nvSpPr>
      <cdr:spPr bwMode="auto">
        <a:xfrm xmlns:a="http://schemas.openxmlformats.org/drawingml/2006/main">
          <a:off x="2418163" y="933925"/>
          <a:ext cx="167035"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0.67173</cdr:x>
      <cdr:y>0.12514</cdr:y>
    </cdr:from>
    <cdr:to>
      <cdr:x>0.72025</cdr:x>
      <cdr:y>0.16065</cdr:y>
    </cdr:to>
    <cdr:sp macro="" textlink="Programme!$E$25">
      <cdr:nvSpPr>
        <cdr:cNvPr id="15366" name="Text Box 6"/>
        <cdr:cNvSpPr txBox="1">
          <a:spLocks xmlns:a="http://schemas.openxmlformats.org/drawingml/2006/main" noChangeArrowheads="1" noTextEdit="1"/>
        </cdr:cNvSpPr>
      </cdr:nvSpPr>
      <cdr:spPr bwMode="auto">
        <a:xfrm xmlns:a="http://schemas.openxmlformats.org/drawingml/2006/main">
          <a:off x="5598412" y="818854"/>
          <a:ext cx="404406" cy="2323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27432" rIns="18288" bIns="27432" anchor="ctr" upright="1">
          <a:spAutoFit/>
        </a:bodyPr>
        <a:lstStyle xmlns:a="http://schemas.openxmlformats.org/drawingml/2006/main"/>
        <a:p xmlns:a="http://schemas.openxmlformats.org/drawingml/2006/main">
          <a:pPr algn="ctr" rtl="0">
            <a:defRPr sz="1000"/>
          </a:pPr>
          <a:fld id="{5C5CF2B6-6EB3-4DC4-8941-FC72FA8EDD1C}" type="TxLink">
            <a:rPr lang="fr-FR" sz="1200" b="1" i="0" u="none" strike="noStrike" baseline="0">
              <a:solidFill>
                <a:srgbClr val="FF0000"/>
              </a:solidFill>
              <a:latin typeface="Times New Roman"/>
              <a:cs typeface="Times New Roman"/>
            </a:rPr>
            <a:t>VMA</a:t>
          </a:fld>
          <a:endParaRPr lang="fr-FR" sz="1200" b="1" i="0" u="none" strike="noStrike" baseline="0">
            <a:solidFill>
              <a:srgbClr val="FF0000"/>
            </a:solidFill>
            <a:latin typeface="Times New Roman"/>
            <a:cs typeface="Times New Roman"/>
          </a:endParaRPr>
        </a:p>
      </cdr:txBody>
    </cdr:sp>
  </cdr:relSizeAnchor>
  <cdr:relSizeAnchor xmlns:cdr="http://schemas.openxmlformats.org/drawingml/2006/chartDrawing">
    <cdr:from>
      <cdr:x>0.7441</cdr:x>
      <cdr:y>0.12514</cdr:y>
    </cdr:from>
    <cdr:to>
      <cdr:x>0.78084</cdr:x>
      <cdr:y>0.16065</cdr:y>
    </cdr:to>
    <cdr:sp macro="" textlink="Programme!$F$25">
      <cdr:nvSpPr>
        <cdr:cNvPr id="15367" name="Text Box 7"/>
        <cdr:cNvSpPr txBox="1">
          <a:spLocks xmlns:a="http://schemas.openxmlformats.org/drawingml/2006/main" noChangeArrowheads="1" noTextEdit="1"/>
        </cdr:cNvSpPr>
      </cdr:nvSpPr>
      <cdr:spPr bwMode="auto">
        <a:xfrm xmlns:a="http://schemas.openxmlformats.org/drawingml/2006/main">
          <a:off x="6201585" y="818854"/>
          <a:ext cx="306238" cy="232371"/>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a:ln>
        <a:effectLst xmlns:a="http://schemas.openxmlformats.org/drawingml/2006/main"/>
      </cdr:spPr>
      <cdr:txBody>
        <a:bodyPr xmlns:a="http://schemas.openxmlformats.org/drawingml/2006/main" wrap="none" lIns="18288" tIns="27432" rIns="18288" bIns="27432" anchor="ctr" upright="1">
          <a:spAutoFit/>
        </a:bodyPr>
        <a:lstStyle xmlns:a="http://schemas.openxmlformats.org/drawingml/2006/main"/>
        <a:p xmlns:a="http://schemas.openxmlformats.org/drawingml/2006/main">
          <a:pPr algn="ctr" rtl="0">
            <a:defRPr sz="1000"/>
          </a:pPr>
          <a:fld id="{B6F7ECD5-E6EA-4E5D-9C8A-52BDD0600FB1}" type="TxLink">
            <a:rPr lang="fr-FR" sz="1200" b="1" i="0" u="none" strike="noStrike" baseline="0">
              <a:solidFill>
                <a:srgbClr val="FF0000"/>
              </a:solidFill>
              <a:latin typeface="Times New Roman"/>
              <a:cs typeface="Times New Roman"/>
            </a:rPr>
            <a:t>17,5</a:t>
          </a:fld>
          <a:endParaRPr lang="fr-FR" sz="1200" b="1" i="0" u="none" strike="noStrike" baseline="0">
            <a:solidFill>
              <a:srgbClr val="FF0000"/>
            </a:solidFill>
            <a:latin typeface="Times New Roman"/>
            <a:cs typeface="Times New Roman"/>
          </a:endParaRPr>
        </a:p>
      </cdr:txBody>
    </cdr:sp>
  </cdr:relSizeAnchor>
  <cdr:relSizeAnchor xmlns:cdr="http://schemas.openxmlformats.org/drawingml/2006/chartDrawing">
    <cdr:from>
      <cdr:x>0.72268</cdr:x>
      <cdr:y>0.14203</cdr:y>
    </cdr:from>
    <cdr:to>
      <cdr:x>0.74196</cdr:x>
      <cdr:y>0.14203</cdr:y>
    </cdr:to>
    <cdr:sp macro="" textlink="">
      <cdr:nvSpPr>
        <cdr:cNvPr id="15368" name="Line 8"/>
        <cdr:cNvSpPr>
          <a:spLocks xmlns:a="http://schemas.openxmlformats.org/drawingml/2006/main" noChangeShapeType="1"/>
        </cdr:cNvSpPr>
      </cdr:nvSpPr>
      <cdr:spPr bwMode="auto">
        <a:xfrm xmlns:a="http://schemas.openxmlformats.org/drawingml/2006/main">
          <a:off x="6033133" y="933925"/>
          <a:ext cx="160849"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23</xdr:row>
      <xdr:rowOff>47625</xdr:rowOff>
    </xdr:from>
    <xdr:to>
      <xdr:col>6</xdr:col>
      <xdr:colOff>809625</xdr:colOff>
      <xdr:row>46</xdr:row>
      <xdr:rowOff>0</xdr:rowOff>
    </xdr:to>
    <xdr:graphicFrame macro="">
      <xdr:nvGraphicFramePr>
        <xdr:cNvPr id="358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15</xdr:row>
      <xdr:rowOff>95250</xdr:rowOff>
    </xdr:from>
    <xdr:to>
      <xdr:col>7</xdr:col>
      <xdr:colOff>0</xdr:colOff>
      <xdr:row>15</xdr:row>
      <xdr:rowOff>95250</xdr:rowOff>
    </xdr:to>
    <xdr:sp macro="" textlink="">
      <xdr:nvSpPr>
        <xdr:cNvPr id="35842" name="Line 2"/>
        <xdr:cNvSpPr>
          <a:spLocks noChangeShapeType="1"/>
        </xdr:cNvSpPr>
      </xdr:nvSpPr>
      <xdr:spPr bwMode="auto">
        <a:xfrm>
          <a:off x="28575" y="3257550"/>
          <a:ext cx="6448425" cy="0"/>
        </a:xfrm>
        <a:prstGeom prst="line">
          <a:avLst/>
        </a:prstGeom>
        <a:noFill/>
        <a:ln w="9525">
          <a:solidFill>
            <a:srgbClr val="000000"/>
          </a:solidFill>
          <a:round/>
          <a:headEnd/>
          <a:tailEnd/>
        </a:ln>
      </xdr:spPr>
    </xdr:sp>
    <xdr:clientData/>
  </xdr:twoCellAnchor>
  <xdr:twoCellAnchor>
    <xdr:from>
      <xdr:col>10</xdr:col>
      <xdr:colOff>9525</xdr:colOff>
      <xdr:row>3</xdr:row>
      <xdr:rowOff>85725</xdr:rowOff>
    </xdr:from>
    <xdr:to>
      <xdr:col>14</xdr:col>
      <xdr:colOff>123825</xdr:colOff>
      <xdr:row>3</xdr:row>
      <xdr:rowOff>85725</xdr:rowOff>
    </xdr:to>
    <xdr:sp macro="" textlink="">
      <xdr:nvSpPr>
        <xdr:cNvPr id="35846" name="Line 6"/>
        <xdr:cNvSpPr>
          <a:spLocks noChangeShapeType="1"/>
        </xdr:cNvSpPr>
      </xdr:nvSpPr>
      <xdr:spPr bwMode="auto">
        <a:xfrm>
          <a:off x="7810500" y="733425"/>
          <a:ext cx="1495425" cy="0"/>
        </a:xfrm>
        <a:prstGeom prst="line">
          <a:avLst/>
        </a:prstGeom>
        <a:noFill/>
        <a:ln w="9525">
          <a:solidFill>
            <a:srgbClr val="000000"/>
          </a:solidFill>
          <a:round/>
          <a:headEnd/>
          <a:tailEnd type="triangle" w="med" len="med"/>
        </a:ln>
      </xdr:spPr>
    </xdr:sp>
    <xdr:clientData/>
  </xdr:twoCellAnchor>
  <xdr:twoCellAnchor>
    <xdr:from>
      <xdr:col>14</xdr:col>
      <xdr:colOff>104775</xdr:colOff>
      <xdr:row>3</xdr:row>
      <xdr:rowOff>95250</xdr:rowOff>
    </xdr:from>
    <xdr:to>
      <xdr:col>14</xdr:col>
      <xdr:colOff>104775</xdr:colOff>
      <xdr:row>5</xdr:row>
      <xdr:rowOff>171450</xdr:rowOff>
    </xdr:to>
    <xdr:sp macro="" textlink="">
      <xdr:nvSpPr>
        <xdr:cNvPr id="35847" name="Line 7"/>
        <xdr:cNvSpPr>
          <a:spLocks noChangeShapeType="1"/>
        </xdr:cNvSpPr>
      </xdr:nvSpPr>
      <xdr:spPr bwMode="auto">
        <a:xfrm>
          <a:off x="9286875" y="742950"/>
          <a:ext cx="0" cy="514350"/>
        </a:xfrm>
        <a:prstGeom prst="line">
          <a:avLst/>
        </a:prstGeom>
        <a:noFill/>
        <a:ln w="9525">
          <a:solidFill>
            <a:srgbClr val="000000"/>
          </a:solidFill>
          <a:round/>
          <a:headEnd/>
          <a:tailEnd type="triangle" w="med" len="med"/>
        </a:ln>
      </xdr:spPr>
    </xdr:sp>
    <xdr:clientData/>
  </xdr:twoCellAnchor>
  <xdr:twoCellAnchor>
    <xdr:from>
      <xdr:col>10</xdr:col>
      <xdr:colOff>9525</xdr:colOff>
      <xdr:row>10</xdr:row>
      <xdr:rowOff>9525</xdr:rowOff>
    </xdr:from>
    <xdr:to>
      <xdr:col>11</xdr:col>
      <xdr:colOff>247650</xdr:colOff>
      <xdr:row>11</xdr:row>
      <xdr:rowOff>180975</xdr:rowOff>
    </xdr:to>
    <xdr:sp macro="" textlink="">
      <xdr:nvSpPr>
        <xdr:cNvPr id="35848" name="Line 8"/>
        <xdr:cNvSpPr>
          <a:spLocks noChangeShapeType="1"/>
        </xdr:cNvSpPr>
      </xdr:nvSpPr>
      <xdr:spPr bwMode="auto">
        <a:xfrm flipH="1">
          <a:off x="7810500" y="2095500"/>
          <a:ext cx="590550" cy="371475"/>
        </a:xfrm>
        <a:prstGeom prst="line">
          <a:avLst/>
        </a:prstGeom>
        <a:noFill/>
        <a:ln w="9525">
          <a:solidFill>
            <a:srgbClr val="000000"/>
          </a:solidFill>
          <a:round/>
          <a:headEnd/>
          <a:tailEnd type="triangle" w="med" len="med"/>
        </a:ln>
      </xdr:spPr>
    </xdr:sp>
    <xdr:clientData/>
  </xdr:twoCellAnchor>
  <xdr:twoCellAnchor>
    <xdr:from>
      <xdr:col>8</xdr:col>
      <xdr:colOff>38100</xdr:colOff>
      <xdr:row>26</xdr:row>
      <xdr:rowOff>76200</xdr:rowOff>
    </xdr:from>
    <xdr:to>
      <xdr:col>20</xdr:col>
      <xdr:colOff>323850</xdr:colOff>
      <xdr:row>32</xdr:row>
      <xdr:rowOff>114300</xdr:rowOff>
    </xdr:to>
    <xdr:sp macro="" textlink="">
      <xdr:nvSpPr>
        <xdr:cNvPr id="35850" name="Text Box 10"/>
        <xdr:cNvSpPr txBox="1">
          <a:spLocks noChangeArrowheads="1"/>
        </xdr:cNvSpPr>
      </xdr:nvSpPr>
      <xdr:spPr bwMode="auto">
        <a:xfrm>
          <a:off x="6600825" y="5438775"/>
          <a:ext cx="4819650" cy="123825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fr-FR" sz="1200" b="0" i="0" u="none" strike="noStrike" baseline="0">
              <a:solidFill>
                <a:srgbClr val="000000"/>
              </a:solidFill>
              <a:latin typeface="Times New Roman"/>
              <a:cs typeface="Times New Roman"/>
            </a:rPr>
            <a:t>Elle permet de courir à un pourcentage de VMA le plus élevé possible sur une distance donnée.</a:t>
          </a:r>
        </a:p>
        <a:p>
          <a:pPr algn="l" rtl="0">
            <a:defRPr sz="1000"/>
          </a:pPr>
          <a:endParaRPr lang="fr-FR" sz="1200" b="0" i="0" u="none" strike="noStrike" baseline="0">
            <a:solidFill>
              <a:srgbClr val="000000"/>
            </a:solidFill>
            <a:latin typeface="Times New Roman"/>
            <a:cs typeface="Times New Roman"/>
          </a:endParaRPr>
        </a:p>
        <a:p>
          <a:pPr algn="l" rtl="0">
            <a:defRPr sz="1000"/>
          </a:pPr>
          <a:r>
            <a:rPr lang="fr-FR" sz="1200" b="0" i="0" u="none" strike="noStrike" baseline="0">
              <a:solidFill>
                <a:srgbClr val="000000"/>
              </a:solidFill>
              <a:latin typeface="Times New Roman"/>
              <a:cs typeface="Times New Roman"/>
            </a:rPr>
            <a:t>Pour mémoriser la vitesse de compétition, utilisez des fractions de 1000 m </a:t>
          </a:r>
        </a:p>
        <a:p>
          <a:pPr algn="l" rtl="0">
            <a:defRPr sz="1000"/>
          </a:pPr>
          <a:r>
            <a:rPr lang="fr-FR" sz="1200" b="0" i="0" u="none" strike="noStrike" baseline="0">
              <a:solidFill>
                <a:srgbClr val="000000"/>
              </a:solidFill>
              <a:latin typeface="Times New Roman"/>
              <a:cs typeface="Times New Roman"/>
            </a:rPr>
            <a:t>Pour développer l'Endurance spécifique, utilisez des fractions plus longues : 2000 à 3000 m</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590550</xdr:colOff>
      <xdr:row>18</xdr:row>
      <xdr:rowOff>19050</xdr:rowOff>
    </xdr:from>
    <xdr:to>
      <xdr:col>6</xdr:col>
      <xdr:colOff>590550</xdr:colOff>
      <xdr:row>19</xdr:row>
      <xdr:rowOff>76200</xdr:rowOff>
    </xdr:to>
    <xdr:sp macro="" textlink="">
      <xdr:nvSpPr>
        <xdr:cNvPr id="37889" name="Line 1"/>
        <xdr:cNvSpPr>
          <a:spLocks noChangeShapeType="1"/>
        </xdr:cNvSpPr>
      </xdr:nvSpPr>
      <xdr:spPr bwMode="auto">
        <a:xfrm>
          <a:off x="5391150" y="3648075"/>
          <a:ext cx="0" cy="257175"/>
        </a:xfrm>
        <a:prstGeom prst="line">
          <a:avLst/>
        </a:prstGeom>
        <a:noFill/>
        <a:ln w="9525">
          <a:solidFill>
            <a:srgbClr val="000000"/>
          </a:solidFill>
          <a:round/>
          <a:headEnd/>
          <a:tailEnd type="triangle" w="med" len="med"/>
        </a:ln>
      </xdr:spPr>
    </xdr:sp>
    <xdr:clientData/>
  </xdr:twoCellAnchor>
  <xdr:twoCellAnchor>
    <xdr:from>
      <xdr:col>4</xdr:col>
      <xdr:colOff>171450</xdr:colOff>
      <xdr:row>19</xdr:row>
      <xdr:rowOff>76200</xdr:rowOff>
    </xdr:from>
    <xdr:to>
      <xdr:col>6</xdr:col>
      <xdr:colOff>561975</xdr:colOff>
      <xdr:row>19</xdr:row>
      <xdr:rowOff>76200</xdr:rowOff>
    </xdr:to>
    <xdr:sp macro="" textlink="">
      <xdr:nvSpPr>
        <xdr:cNvPr id="37890" name="Line 2"/>
        <xdr:cNvSpPr>
          <a:spLocks noChangeShapeType="1"/>
        </xdr:cNvSpPr>
      </xdr:nvSpPr>
      <xdr:spPr bwMode="auto">
        <a:xfrm flipH="1" flipV="1">
          <a:off x="3705225" y="3905250"/>
          <a:ext cx="1657350" cy="0"/>
        </a:xfrm>
        <a:prstGeom prst="line">
          <a:avLst/>
        </a:prstGeom>
        <a:noFill/>
        <a:ln w="9525">
          <a:solidFill>
            <a:srgbClr val="000000"/>
          </a:solidFill>
          <a:round/>
          <a:headEnd/>
          <a:tailEnd type="triangle" w="med" len="med"/>
        </a:ln>
      </xdr:spPr>
    </xdr:sp>
    <xdr:clientData/>
  </xdr:twoCellAnchor>
  <xdr:twoCellAnchor>
    <xdr:from>
      <xdr:col>2</xdr:col>
      <xdr:colOff>704850</xdr:colOff>
      <xdr:row>9</xdr:row>
      <xdr:rowOff>95250</xdr:rowOff>
    </xdr:from>
    <xdr:to>
      <xdr:col>4</xdr:col>
      <xdr:colOff>152400</xdr:colOff>
      <xdr:row>19</xdr:row>
      <xdr:rowOff>57150</xdr:rowOff>
    </xdr:to>
    <xdr:sp macro="" textlink="">
      <xdr:nvSpPr>
        <xdr:cNvPr id="37891" name="Line 3"/>
        <xdr:cNvSpPr>
          <a:spLocks noChangeShapeType="1"/>
        </xdr:cNvSpPr>
      </xdr:nvSpPr>
      <xdr:spPr bwMode="auto">
        <a:xfrm flipH="1" flipV="1">
          <a:off x="3152775" y="1924050"/>
          <a:ext cx="533400" cy="1962150"/>
        </a:xfrm>
        <a:prstGeom prst="line">
          <a:avLst/>
        </a:prstGeom>
        <a:noFill/>
        <a:ln w="9525">
          <a:solidFill>
            <a:srgbClr val="000000"/>
          </a:solidFill>
          <a:round/>
          <a:headEnd/>
          <a:tailEnd type="triangle" w="med" len="med"/>
        </a:ln>
      </xdr:spPr>
    </xdr:sp>
    <xdr:clientData/>
  </xdr:twoCellAnchor>
  <xdr:twoCellAnchor>
    <xdr:from>
      <xdr:col>2</xdr:col>
      <xdr:colOff>19050</xdr:colOff>
      <xdr:row>9</xdr:row>
      <xdr:rowOff>114300</xdr:rowOff>
    </xdr:from>
    <xdr:to>
      <xdr:col>2</xdr:col>
      <xdr:colOff>666750</xdr:colOff>
      <xdr:row>9</xdr:row>
      <xdr:rowOff>114300</xdr:rowOff>
    </xdr:to>
    <xdr:sp macro="" textlink="">
      <xdr:nvSpPr>
        <xdr:cNvPr id="37892" name="Line 4"/>
        <xdr:cNvSpPr>
          <a:spLocks noChangeShapeType="1"/>
        </xdr:cNvSpPr>
      </xdr:nvSpPr>
      <xdr:spPr bwMode="auto">
        <a:xfrm flipH="1">
          <a:off x="2466975" y="1943100"/>
          <a:ext cx="647700" cy="0"/>
        </a:xfrm>
        <a:prstGeom prst="line">
          <a:avLst/>
        </a:prstGeom>
        <a:noFill/>
        <a:ln w="9525">
          <a:solidFill>
            <a:srgbClr val="000000"/>
          </a:solidFill>
          <a:round/>
          <a:headEnd/>
          <a:tailEnd type="triangle" w="med" len="med"/>
        </a:ln>
      </xdr:spPr>
    </xdr:sp>
    <xdr:clientData/>
  </xdr:twoCellAnchor>
  <xdr:twoCellAnchor>
    <xdr:from>
      <xdr:col>3</xdr:col>
      <xdr:colOff>9525</xdr:colOff>
      <xdr:row>8</xdr:row>
      <xdr:rowOff>104775</xdr:rowOff>
    </xdr:from>
    <xdr:to>
      <xdr:col>4</xdr:col>
      <xdr:colOff>200025</xdr:colOff>
      <xdr:row>8</xdr:row>
      <xdr:rowOff>104775</xdr:rowOff>
    </xdr:to>
    <xdr:sp macro="" textlink="">
      <xdr:nvSpPr>
        <xdr:cNvPr id="37893" name="Line 5"/>
        <xdr:cNvSpPr>
          <a:spLocks noChangeShapeType="1"/>
        </xdr:cNvSpPr>
      </xdr:nvSpPr>
      <xdr:spPr bwMode="auto">
        <a:xfrm>
          <a:off x="3343275" y="1733550"/>
          <a:ext cx="390525" cy="0"/>
        </a:xfrm>
        <a:prstGeom prst="line">
          <a:avLst/>
        </a:prstGeom>
        <a:noFill/>
        <a:ln w="9525">
          <a:solidFill>
            <a:srgbClr val="000000"/>
          </a:solidFill>
          <a:round/>
          <a:headEnd/>
          <a:tailEnd type="triangle" w="med" len="me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333375</xdr:colOff>
      <xdr:row>62</xdr:row>
      <xdr:rowOff>180975</xdr:rowOff>
    </xdr:from>
    <xdr:to>
      <xdr:col>7</xdr:col>
      <xdr:colOff>714375</xdr:colOff>
      <xdr:row>64</xdr:row>
      <xdr:rowOff>161925</xdr:rowOff>
    </xdr:to>
    <xdr:sp macro="" textlink="">
      <xdr:nvSpPr>
        <xdr:cNvPr id="28673" name="Line 1"/>
        <xdr:cNvSpPr>
          <a:spLocks noChangeShapeType="1"/>
        </xdr:cNvSpPr>
      </xdr:nvSpPr>
      <xdr:spPr bwMode="auto">
        <a:xfrm flipH="1">
          <a:off x="6334125" y="12877800"/>
          <a:ext cx="381000" cy="428625"/>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6.bin"/><Relationship Id="rId1" Type="http://schemas.openxmlformats.org/officeDocument/2006/relationships/hyperlink" Target="http://ultrafondu.free.fr/Recherche/2001-05-Billat.php" TargetMode="Externa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euil1"/>
  <dimension ref="A1:G49"/>
  <sheetViews>
    <sheetView workbookViewId="0">
      <selection sqref="A1:G1"/>
    </sheetView>
  </sheetViews>
  <sheetFormatPr baseColWidth="10" defaultRowHeight="15.75"/>
  <sheetData>
    <row r="1" spans="1:7">
      <c r="A1" s="563" t="s">
        <v>1105</v>
      </c>
      <c r="B1" s="563"/>
      <c r="C1" s="563"/>
      <c r="D1" s="563"/>
      <c r="E1" s="563"/>
      <c r="F1" s="563"/>
      <c r="G1" s="563"/>
    </row>
    <row r="47" spans="1:7">
      <c r="A47" s="562" t="s">
        <v>496</v>
      </c>
      <c r="B47" s="562"/>
      <c r="C47" s="562"/>
      <c r="D47" s="562"/>
      <c r="E47" s="562"/>
      <c r="F47" s="562"/>
      <c r="G47" s="562"/>
    </row>
    <row r="48" spans="1:7">
      <c r="A48" s="562" t="s">
        <v>498</v>
      </c>
      <c r="B48" s="562"/>
      <c r="C48" s="562"/>
      <c r="D48" s="562"/>
      <c r="E48" s="562"/>
      <c r="F48" s="562"/>
      <c r="G48" s="562"/>
    </row>
    <row r="49" spans="1:7">
      <c r="A49" s="564" t="s">
        <v>1107</v>
      </c>
      <c r="B49" s="565"/>
      <c r="C49" s="565"/>
      <c r="D49" s="565"/>
      <c r="E49" s="565"/>
      <c r="F49" s="565"/>
      <c r="G49" s="565"/>
    </row>
  </sheetData>
  <sheetProtection password="8026" sheet="1" objects="1" scenarios="1"/>
  <mergeCells count="4">
    <mergeCell ref="A47:G47"/>
    <mergeCell ref="A48:G48"/>
    <mergeCell ref="A1:G1"/>
    <mergeCell ref="A49:G49"/>
  </mergeCells>
  <phoneticPr fontId="0" type="noConversion"/>
  <printOptions horizontalCentered="1" verticalCentered="1"/>
  <pageMargins left="0.59055118110236227" right="0.59055118110236227" top="0.59055118110236227" bottom="0.59055118110236227" header="0.51181102362204722" footer="0.51181102362204722"/>
  <pageSetup paperSize="9" orientation="portrait" horizontalDpi="4294967294" verticalDpi="0" r:id="rId1"/>
  <headerFooter alignWithMargins="0"/>
  <drawing r:id="rId2"/>
</worksheet>
</file>

<file path=xl/worksheets/sheet10.xml><?xml version="1.0" encoding="utf-8"?>
<worksheet xmlns="http://schemas.openxmlformats.org/spreadsheetml/2006/main" xmlns:r="http://schemas.openxmlformats.org/officeDocument/2006/relationships">
  <sheetPr codeName="Feuil10"/>
  <dimension ref="A1:F44"/>
  <sheetViews>
    <sheetView tabSelected="1" workbookViewId="0">
      <selection activeCell="J14" sqref="J14"/>
    </sheetView>
  </sheetViews>
  <sheetFormatPr baseColWidth="10" defaultRowHeight="15.75"/>
  <cols>
    <col min="1" max="2" width="11" style="93"/>
    <col min="3" max="3" width="9.375" style="93" bestFit="1" customWidth="1"/>
    <col min="4" max="4" width="9.75" style="93" bestFit="1" customWidth="1"/>
    <col min="5" max="5" width="16.5" style="93" bestFit="1" customWidth="1"/>
    <col min="6" max="6" width="24.125" style="93" customWidth="1"/>
    <col min="7" max="16384" width="11" style="70"/>
  </cols>
  <sheetData>
    <row r="1" spans="1:6">
      <c r="A1" s="697" t="s">
        <v>403</v>
      </c>
      <c r="B1" s="698"/>
      <c r="C1" s="698"/>
      <c r="D1" s="698"/>
      <c r="E1" s="698"/>
      <c r="F1" s="699"/>
    </row>
    <row r="2" spans="1:6">
      <c r="A2" s="717" t="s">
        <v>402</v>
      </c>
      <c r="B2" s="717" t="s">
        <v>401</v>
      </c>
      <c r="C2" s="715" t="s">
        <v>396</v>
      </c>
      <c r="D2" s="716"/>
      <c r="E2" s="150" t="s">
        <v>397</v>
      </c>
      <c r="F2" s="150" t="s">
        <v>398</v>
      </c>
    </row>
    <row r="3" spans="1:6" ht="31.5" customHeight="1">
      <c r="A3" s="718"/>
      <c r="B3" s="718"/>
      <c r="C3" s="151" t="s">
        <v>394</v>
      </c>
      <c r="D3" s="151" t="s">
        <v>395</v>
      </c>
      <c r="E3" s="151" t="s">
        <v>399</v>
      </c>
      <c r="F3" s="151" t="s">
        <v>400</v>
      </c>
    </row>
    <row r="4" spans="1:6">
      <c r="A4" s="152" t="s">
        <v>135</v>
      </c>
      <c r="B4" s="140" t="s">
        <v>364</v>
      </c>
      <c r="C4" s="145"/>
      <c r="D4" s="145"/>
      <c r="E4" s="153">
        <v>2</v>
      </c>
      <c r="F4" s="153">
        <v>98</v>
      </c>
    </row>
    <row r="5" spans="1:6">
      <c r="A5" s="152" t="s">
        <v>357</v>
      </c>
      <c r="B5" s="140" t="s">
        <v>365</v>
      </c>
      <c r="C5" s="145"/>
      <c r="D5" s="145"/>
      <c r="E5" s="153">
        <v>4</v>
      </c>
      <c r="F5" s="153">
        <v>96</v>
      </c>
    </row>
    <row r="6" spans="1:6">
      <c r="A6" s="152" t="s">
        <v>138</v>
      </c>
      <c r="B6" s="140" t="s">
        <v>366</v>
      </c>
      <c r="C6" s="145"/>
      <c r="D6" s="153">
        <v>5</v>
      </c>
      <c r="E6" s="153">
        <v>40</v>
      </c>
      <c r="F6" s="153">
        <v>55</v>
      </c>
    </row>
    <row r="7" spans="1:6">
      <c r="A7" s="152" t="s">
        <v>64</v>
      </c>
      <c r="B7" s="140" t="s">
        <v>367</v>
      </c>
      <c r="C7" s="145"/>
      <c r="D7" s="153" t="s">
        <v>376</v>
      </c>
      <c r="E7" s="153" t="s">
        <v>377</v>
      </c>
      <c r="F7" s="153">
        <v>30</v>
      </c>
    </row>
    <row r="8" spans="1:6">
      <c r="A8" s="152" t="s">
        <v>145</v>
      </c>
      <c r="B8" s="140" t="s">
        <v>368</v>
      </c>
      <c r="C8" s="145"/>
      <c r="D8" s="145" t="s">
        <v>384</v>
      </c>
      <c r="E8" s="153" t="s">
        <v>378</v>
      </c>
      <c r="F8" s="153">
        <v>25</v>
      </c>
    </row>
    <row r="9" spans="1:6">
      <c r="A9" s="152" t="s">
        <v>146</v>
      </c>
      <c r="B9" s="140" t="s">
        <v>369</v>
      </c>
      <c r="C9" s="145"/>
      <c r="D9" s="145" t="s">
        <v>385</v>
      </c>
      <c r="E9" s="153" t="s">
        <v>379</v>
      </c>
      <c r="F9" s="153">
        <v>25</v>
      </c>
    </row>
    <row r="10" spans="1:6">
      <c r="A10" s="152" t="s">
        <v>358</v>
      </c>
      <c r="B10" s="140" t="s">
        <v>370</v>
      </c>
      <c r="C10" s="145"/>
      <c r="D10" s="145" t="s">
        <v>386</v>
      </c>
      <c r="E10" s="153" t="s">
        <v>380</v>
      </c>
      <c r="F10" s="153">
        <v>20</v>
      </c>
    </row>
    <row r="11" spans="1:6">
      <c r="A11" s="152" t="s">
        <v>359</v>
      </c>
      <c r="B11" s="140" t="s">
        <v>371</v>
      </c>
      <c r="C11" s="154">
        <v>5</v>
      </c>
      <c r="D11" s="145" t="s">
        <v>387</v>
      </c>
      <c r="E11" s="153" t="s">
        <v>381</v>
      </c>
      <c r="F11" s="153">
        <v>15</v>
      </c>
    </row>
    <row r="12" spans="1:6">
      <c r="A12" s="152" t="s">
        <v>360</v>
      </c>
      <c r="B12" s="140" t="s">
        <v>372</v>
      </c>
      <c r="C12" s="154">
        <v>15</v>
      </c>
      <c r="D12" s="145" t="s">
        <v>388</v>
      </c>
      <c r="E12" s="153" t="s">
        <v>382</v>
      </c>
      <c r="F12" s="153">
        <v>10</v>
      </c>
    </row>
    <row r="13" spans="1:6">
      <c r="A13" s="152" t="s">
        <v>361</v>
      </c>
      <c r="B13" s="140" t="s">
        <v>373</v>
      </c>
      <c r="C13" s="145" t="s">
        <v>391</v>
      </c>
      <c r="D13" s="145" t="s">
        <v>389</v>
      </c>
      <c r="E13" s="153" t="s">
        <v>383</v>
      </c>
      <c r="F13" s="153">
        <v>5</v>
      </c>
    </row>
    <row r="14" spans="1:6">
      <c r="A14" s="152" t="s">
        <v>362</v>
      </c>
      <c r="B14" s="140" t="s">
        <v>374</v>
      </c>
      <c r="C14" s="145" t="s">
        <v>392</v>
      </c>
      <c r="D14" s="145" t="s">
        <v>390</v>
      </c>
      <c r="E14" s="153">
        <v>5</v>
      </c>
      <c r="F14" s="153">
        <v>2</v>
      </c>
    </row>
    <row r="15" spans="1:6">
      <c r="A15" s="152" t="s">
        <v>363</v>
      </c>
      <c r="B15" s="140" t="s">
        <v>375</v>
      </c>
      <c r="C15" s="145" t="s">
        <v>393</v>
      </c>
      <c r="D15" s="145" t="s">
        <v>391</v>
      </c>
      <c r="E15" s="153">
        <v>2</v>
      </c>
      <c r="F15" s="153">
        <v>2</v>
      </c>
    </row>
    <row r="17" spans="1:6" ht="0.75" customHeight="1">
      <c r="A17" s="685"/>
      <c r="B17" s="687"/>
    </row>
    <row r="18" spans="1:6">
      <c r="A18" s="700" t="s">
        <v>417</v>
      </c>
      <c r="B18" s="701"/>
      <c r="C18" s="701"/>
      <c r="D18" s="701"/>
      <c r="E18" s="701"/>
      <c r="F18" s="702"/>
    </row>
    <row r="19" spans="1:6">
      <c r="A19" s="703" t="s">
        <v>404</v>
      </c>
      <c r="B19" s="704"/>
      <c r="C19" s="705"/>
      <c r="D19" s="709" t="s">
        <v>415</v>
      </c>
      <c r="E19" s="710"/>
      <c r="F19" s="711"/>
    </row>
    <row r="20" spans="1:6">
      <c r="A20" s="703"/>
      <c r="B20" s="704"/>
      <c r="C20" s="705"/>
      <c r="D20" s="712"/>
      <c r="E20" s="713"/>
      <c r="F20" s="714"/>
    </row>
    <row r="21" spans="1:6">
      <c r="A21" s="706"/>
      <c r="B21" s="707"/>
      <c r="C21" s="708"/>
      <c r="D21" s="697" t="s">
        <v>410</v>
      </c>
      <c r="E21" s="699"/>
      <c r="F21" s="155" t="s">
        <v>406</v>
      </c>
    </row>
    <row r="22" spans="1:6">
      <c r="A22" s="690" t="s">
        <v>1126</v>
      </c>
      <c r="B22" s="691"/>
      <c r="C22" s="692"/>
      <c r="D22" s="693" t="s">
        <v>407</v>
      </c>
      <c r="E22" s="688"/>
      <c r="F22" s="156" t="s">
        <v>413</v>
      </c>
    </row>
    <row r="23" spans="1:6">
      <c r="A23" s="694" t="s">
        <v>1127</v>
      </c>
      <c r="B23" s="695"/>
      <c r="C23" s="696"/>
      <c r="D23" s="693" t="s">
        <v>408</v>
      </c>
      <c r="E23" s="688"/>
      <c r="F23" s="156" t="s">
        <v>413</v>
      </c>
    </row>
    <row r="24" spans="1:6" ht="31.5">
      <c r="A24" s="677" t="s">
        <v>1128</v>
      </c>
      <c r="B24" s="678"/>
      <c r="C24" s="679"/>
      <c r="D24" s="680" t="s">
        <v>409</v>
      </c>
      <c r="E24" s="681"/>
      <c r="F24" s="157" t="s">
        <v>414</v>
      </c>
    </row>
    <row r="25" spans="1:6">
      <c r="A25" s="682" t="s">
        <v>405</v>
      </c>
      <c r="B25" s="683"/>
      <c r="C25" s="684"/>
      <c r="D25" s="676" t="s">
        <v>411</v>
      </c>
      <c r="E25" s="688"/>
      <c r="F25" s="156" t="s">
        <v>413</v>
      </c>
    </row>
    <row r="26" spans="1:6">
      <c r="A26" s="685"/>
      <c r="B26" s="686"/>
      <c r="C26" s="687"/>
      <c r="D26" s="689" t="s">
        <v>412</v>
      </c>
      <c r="E26" s="681"/>
      <c r="F26" s="158" t="s">
        <v>416</v>
      </c>
    </row>
    <row r="27" spans="1:6">
      <c r="A27" s="719" t="s">
        <v>1185</v>
      </c>
      <c r="B27" s="720"/>
      <c r="C27" s="720"/>
      <c r="D27" s="720"/>
      <c r="E27" s="720"/>
      <c r="F27" s="721"/>
    </row>
    <row r="28" spans="1:6">
      <c r="A28" s="717" t="s">
        <v>1165</v>
      </c>
      <c r="B28" s="723" t="s">
        <v>1173</v>
      </c>
      <c r="C28" s="723"/>
      <c r="D28" s="723"/>
      <c r="E28" s="717" t="s">
        <v>1174</v>
      </c>
      <c r="F28" s="717" t="s">
        <v>1178</v>
      </c>
    </row>
    <row r="29" spans="1:6" ht="31.5">
      <c r="A29" s="722"/>
      <c r="B29" s="472" t="s">
        <v>1166</v>
      </c>
      <c r="C29" s="493" t="s">
        <v>10</v>
      </c>
      <c r="D29" s="493" t="s">
        <v>1172</v>
      </c>
      <c r="E29" s="722"/>
      <c r="F29" s="722"/>
    </row>
    <row r="30" spans="1:6">
      <c r="A30" s="156">
        <v>110</v>
      </c>
      <c r="B30" s="156" t="s">
        <v>1167</v>
      </c>
      <c r="C30" s="156" t="s">
        <v>1167</v>
      </c>
      <c r="D30" s="156"/>
      <c r="E30" s="494" t="s">
        <v>10</v>
      </c>
      <c r="F30" s="725" t="s">
        <v>1179</v>
      </c>
    </row>
    <row r="31" spans="1:6">
      <c r="A31" s="156">
        <v>105</v>
      </c>
      <c r="B31" s="156" t="s">
        <v>1169</v>
      </c>
      <c r="C31" s="156" t="s">
        <v>1167</v>
      </c>
      <c r="D31" s="156"/>
      <c r="E31" s="494" t="s">
        <v>10</v>
      </c>
      <c r="F31" s="725"/>
    </row>
    <row r="32" spans="1:6">
      <c r="A32" s="156">
        <v>100</v>
      </c>
      <c r="B32" s="156" t="s">
        <v>1170</v>
      </c>
      <c r="C32" s="156" t="s">
        <v>1167</v>
      </c>
      <c r="D32" s="156"/>
      <c r="E32" s="494" t="s">
        <v>10</v>
      </c>
      <c r="F32" s="725"/>
    </row>
    <row r="33" spans="1:6">
      <c r="A33" s="156">
        <v>95</v>
      </c>
      <c r="B33" s="156" t="s">
        <v>1168</v>
      </c>
      <c r="C33" s="156" t="s">
        <v>1170</v>
      </c>
      <c r="D33" s="156" t="s">
        <v>1168</v>
      </c>
      <c r="E33" s="494" t="s">
        <v>10</v>
      </c>
      <c r="F33" s="725"/>
    </row>
    <row r="34" spans="1:6">
      <c r="A34" s="156">
        <v>90</v>
      </c>
      <c r="B34" s="156" t="s">
        <v>1171</v>
      </c>
      <c r="C34" s="156" t="s">
        <v>1168</v>
      </c>
      <c r="D34" s="156" t="s">
        <v>1170</v>
      </c>
      <c r="E34" s="494" t="s">
        <v>1175</v>
      </c>
      <c r="F34" s="725" t="s">
        <v>1183</v>
      </c>
    </row>
    <row r="35" spans="1:6">
      <c r="A35" s="156">
        <v>85</v>
      </c>
      <c r="B35" s="156"/>
      <c r="C35" s="156" t="s">
        <v>1171</v>
      </c>
      <c r="D35" s="156" t="s">
        <v>1167</v>
      </c>
      <c r="E35" s="726" t="s">
        <v>1176</v>
      </c>
      <c r="F35" s="725"/>
    </row>
    <row r="36" spans="1:6">
      <c r="A36" s="156">
        <v>80</v>
      </c>
      <c r="B36" s="156"/>
      <c r="C36" s="156"/>
      <c r="D36" s="156" t="s">
        <v>1170</v>
      </c>
      <c r="E36" s="726"/>
      <c r="F36" s="725"/>
    </row>
    <row r="37" spans="1:6">
      <c r="A37" s="156">
        <v>75</v>
      </c>
      <c r="B37" s="156"/>
      <c r="C37" s="156"/>
      <c r="D37" s="156" t="s">
        <v>1171</v>
      </c>
      <c r="E37" s="726" t="s">
        <v>1177</v>
      </c>
      <c r="F37" s="727" t="s">
        <v>1184</v>
      </c>
    </row>
    <row r="38" spans="1:6">
      <c r="A38" s="156">
        <v>70</v>
      </c>
      <c r="B38" s="156"/>
      <c r="C38" s="156"/>
      <c r="D38" s="156"/>
      <c r="E38" s="726"/>
      <c r="F38" s="728"/>
    </row>
    <row r="39" spans="1:6">
      <c r="A39" s="156">
        <v>65</v>
      </c>
      <c r="B39" s="156"/>
      <c r="C39" s="156"/>
      <c r="D39" s="156"/>
      <c r="E39" s="494" t="s">
        <v>123</v>
      </c>
      <c r="F39" s="728"/>
    </row>
    <row r="40" spans="1:6">
      <c r="A40" s="156">
        <v>60</v>
      </c>
      <c r="B40" s="156"/>
      <c r="C40" s="156"/>
      <c r="D40" s="156"/>
      <c r="E40" s="494" t="s">
        <v>33</v>
      </c>
      <c r="F40" s="729"/>
    </row>
    <row r="41" spans="1:6">
      <c r="A41" s="724" t="s">
        <v>1186</v>
      </c>
      <c r="B41" s="724"/>
      <c r="C41" s="724"/>
      <c r="D41" s="724"/>
      <c r="E41" s="724"/>
      <c r="F41" s="724"/>
    </row>
    <row r="42" spans="1:6">
      <c r="A42" s="730" t="s">
        <v>1129</v>
      </c>
      <c r="B42" s="730"/>
      <c r="C42" s="730"/>
      <c r="D42" s="730" t="s">
        <v>1180</v>
      </c>
      <c r="E42" s="730"/>
      <c r="F42" s="730"/>
    </row>
    <row r="43" spans="1:6">
      <c r="A43" s="731" t="s">
        <v>1130</v>
      </c>
      <c r="B43" s="731"/>
      <c r="C43" s="731"/>
      <c r="D43" s="730" t="s">
        <v>1181</v>
      </c>
      <c r="E43" s="730"/>
      <c r="F43" s="730"/>
    </row>
    <row r="44" spans="1:6">
      <c r="A44" s="70"/>
      <c r="B44" s="70"/>
      <c r="C44" s="70"/>
      <c r="D44" s="730" t="s">
        <v>1182</v>
      </c>
      <c r="E44" s="730"/>
      <c r="F44" s="730"/>
    </row>
  </sheetData>
  <sheetProtection password="8026" sheet="1" objects="1" scenarios="1"/>
  <mergeCells count="34">
    <mergeCell ref="F37:F40"/>
    <mergeCell ref="D42:F42"/>
    <mergeCell ref="A42:C42"/>
    <mergeCell ref="D44:F44"/>
    <mergeCell ref="D43:F43"/>
    <mergeCell ref="A43:C43"/>
    <mergeCell ref="A27:F27"/>
    <mergeCell ref="A28:A29"/>
    <mergeCell ref="B28:D28"/>
    <mergeCell ref="E28:E29"/>
    <mergeCell ref="F28:F29"/>
    <mergeCell ref="A41:F41"/>
    <mergeCell ref="F30:F33"/>
    <mergeCell ref="F34:F36"/>
    <mergeCell ref="E35:E36"/>
    <mergeCell ref="E37:E38"/>
    <mergeCell ref="A1:F1"/>
    <mergeCell ref="A18:F18"/>
    <mergeCell ref="A19:C21"/>
    <mergeCell ref="D19:F20"/>
    <mergeCell ref="D21:E21"/>
    <mergeCell ref="A17:B17"/>
    <mergeCell ref="C2:D2"/>
    <mergeCell ref="B2:B3"/>
    <mergeCell ref="A2:A3"/>
    <mergeCell ref="A24:C24"/>
    <mergeCell ref="D24:E24"/>
    <mergeCell ref="A25:C26"/>
    <mergeCell ref="D25:E25"/>
    <mergeCell ref="D26:E26"/>
    <mergeCell ref="A22:C22"/>
    <mergeCell ref="D22:E22"/>
    <mergeCell ref="A23:C23"/>
    <mergeCell ref="D23:E23"/>
  </mergeCells>
  <phoneticPr fontId="0" type="noConversion"/>
  <printOptions horizontalCentered="1" verticalCentered="1"/>
  <pageMargins left="0.39370078740157483" right="0.39370078740157483" top="0.59055118110236227" bottom="0.59055118110236227" header="0.51181102362204722" footer="0.51181102362204722"/>
  <pageSetup paperSize="9" orientation="portrait" horizontalDpi="4294967294" verticalDpi="0" r:id="rId1"/>
  <headerFooter alignWithMargins="0"/>
</worksheet>
</file>

<file path=xl/worksheets/sheet11.xml><?xml version="1.0" encoding="utf-8"?>
<worksheet xmlns="http://schemas.openxmlformats.org/spreadsheetml/2006/main" xmlns:r="http://schemas.openxmlformats.org/officeDocument/2006/relationships">
  <dimension ref="A1:G17"/>
  <sheetViews>
    <sheetView workbookViewId="0">
      <selection activeCell="E12" sqref="E12:F12"/>
    </sheetView>
  </sheetViews>
  <sheetFormatPr baseColWidth="10" defaultRowHeight="15.75"/>
  <sheetData>
    <row r="1" spans="1:7">
      <c r="A1" s="183"/>
      <c r="B1" s="183"/>
      <c r="C1" s="183"/>
      <c r="D1" s="183"/>
      <c r="E1" s="183"/>
      <c r="F1" s="183"/>
      <c r="G1" s="183"/>
    </row>
    <row r="2" spans="1:7">
      <c r="A2" s="183"/>
      <c r="B2" s="183"/>
      <c r="C2" s="183"/>
      <c r="D2" s="183"/>
      <c r="E2" s="183"/>
      <c r="F2" s="183"/>
      <c r="G2" s="183"/>
    </row>
    <row r="3" spans="1:7" ht="20.25">
      <c r="A3" s="183"/>
      <c r="B3" s="734" t="s">
        <v>1109</v>
      </c>
      <c r="C3" s="735"/>
      <c r="D3" s="183"/>
      <c r="E3" s="183"/>
      <c r="F3" s="183"/>
      <c r="G3" s="183"/>
    </row>
    <row r="4" spans="1:7">
      <c r="A4" s="183"/>
      <c r="B4" s="415"/>
      <c r="C4" s="416"/>
      <c r="D4" s="183"/>
      <c r="E4" s="183"/>
      <c r="F4" s="183"/>
      <c r="G4" s="183"/>
    </row>
    <row r="5" spans="1:7">
      <c r="A5" s="183"/>
      <c r="B5" s="732" t="s">
        <v>524</v>
      </c>
      <c r="C5" s="733"/>
      <c r="D5" s="183"/>
      <c r="E5" s="736" t="s">
        <v>1110</v>
      </c>
      <c r="F5" s="736"/>
      <c r="G5" s="183"/>
    </row>
    <row r="6" spans="1:7">
      <c r="A6" s="183"/>
      <c r="B6" s="732"/>
      <c r="C6" s="733"/>
      <c r="D6" s="183"/>
      <c r="E6" s="736"/>
      <c r="F6" s="736"/>
      <c r="G6" s="183"/>
    </row>
    <row r="7" spans="1:7">
      <c r="A7" s="183"/>
      <c r="B7" s="265"/>
      <c r="C7" s="266"/>
      <c r="D7" s="183"/>
      <c r="E7" s="5"/>
      <c r="F7" s="5"/>
      <c r="G7" s="183"/>
    </row>
    <row r="8" spans="1:7">
      <c r="A8" s="183"/>
      <c r="B8" s="732" t="s">
        <v>594</v>
      </c>
      <c r="C8" s="733"/>
      <c r="D8" s="183"/>
      <c r="E8" s="737" t="s">
        <v>1111</v>
      </c>
      <c r="F8" s="737"/>
      <c r="G8" s="183"/>
    </row>
    <row r="9" spans="1:7">
      <c r="A9" s="183"/>
      <c r="B9" s="732"/>
      <c r="C9" s="733"/>
      <c r="D9" s="183"/>
      <c r="E9" s="737"/>
      <c r="F9" s="737"/>
      <c r="G9" s="183"/>
    </row>
    <row r="10" spans="1:7">
      <c r="A10" s="183"/>
      <c r="B10" s="265"/>
      <c r="C10" s="266"/>
      <c r="D10" s="183"/>
      <c r="E10" s="183"/>
      <c r="F10" s="183"/>
      <c r="G10" s="183"/>
    </row>
    <row r="11" spans="1:7">
      <c r="A11" s="183"/>
      <c r="B11" s="732" t="s">
        <v>609</v>
      </c>
      <c r="C11" s="733"/>
      <c r="D11" s="183"/>
      <c r="E11" s="183"/>
      <c r="F11" s="183"/>
      <c r="G11" s="183"/>
    </row>
    <row r="12" spans="1:7">
      <c r="A12" s="183"/>
      <c r="B12" s="732"/>
      <c r="C12" s="733"/>
      <c r="D12" s="183"/>
      <c r="E12" s="738" t="s">
        <v>1124</v>
      </c>
      <c r="F12" s="738"/>
      <c r="G12" s="183"/>
    </row>
    <row r="13" spans="1:7">
      <c r="A13" s="183"/>
      <c r="B13" s="417"/>
      <c r="C13" s="418"/>
      <c r="D13" s="183"/>
      <c r="E13" s="183"/>
      <c r="F13" s="183"/>
      <c r="G13" s="183"/>
    </row>
    <row r="14" spans="1:7">
      <c r="A14" s="183"/>
      <c r="B14" s="183"/>
      <c r="C14" s="183"/>
      <c r="D14" s="183"/>
      <c r="E14" s="183"/>
      <c r="F14" s="183"/>
      <c r="G14" s="183"/>
    </row>
    <row r="15" spans="1:7">
      <c r="A15" s="183"/>
      <c r="B15" s="183"/>
      <c r="C15" s="183"/>
      <c r="D15" s="183"/>
      <c r="E15" s="183"/>
      <c r="F15" s="183"/>
      <c r="G15" s="183"/>
    </row>
    <row r="16" spans="1:7">
      <c r="A16" s="5"/>
      <c r="B16" s="183"/>
      <c r="C16" s="183"/>
      <c r="D16" s="183"/>
      <c r="E16" s="183"/>
      <c r="F16" s="183"/>
      <c r="G16" s="183"/>
    </row>
    <row r="17" spans="1:7">
      <c r="A17" s="5"/>
      <c r="B17" s="5"/>
      <c r="C17" s="5"/>
      <c r="D17" s="5"/>
      <c r="E17" s="5"/>
      <c r="F17" s="5"/>
      <c r="G17" s="5"/>
    </row>
  </sheetData>
  <sheetProtection password="8026" sheet="1" objects="1" scenarios="1"/>
  <mergeCells count="7">
    <mergeCell ref="B11:C12"/>
    <mergeCell ref="B3:C3"/>
    <mergeCell ref="B5:C6"/>
    <mergeCell ref="E5:F6"/>
    <mergeCell ref="B8:C9"/>
    <mergeCell ref="E8:F9"/>
    <mergeCell ref="E12:F12"/>
  </mergeCells>
  <phoneticPr fontId="0" type="noConversion"/>
  <hyperlinks>
    <hyperlink ref="B5:C6" location="'Plan 10 km 3séances'!A1" display="3 séances hebdomadaires"/>
    <hyperlink ref="B8:C9" location="'10km 4 séances'!A1" display="4 séances hebdomadaires"/>
    <hyperlink ref="B11:C12" location="'10km 5 séances'!A1" display="5 séances hebdomadaires"/>
    <hyperlink ref="E5:F6" location="'Plan marathon'!A1" display="Marathon  "/>
    <hyperlink ref="E8:F9" location="'Semi marathon'!A1" display="Semi  Marathon"/>
    <hyperlink ref="E12:F12" location="'30-30'!A1" display="le 30/30"/>
  </hyperlinks>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sheetPr codeName="Feuil12"/>
  <dimension ref="A1:K127"/>
  <sheetViews>
    <sheetView zoomScale="75" workbookViewId="0">
      <selection activeCell="K41" sqref="K41:K42"/>
    </sheetView>
  </sheetViews>
  <sheetFormatPr baseColWidth="10" defaultRowHeight="15.75"/>
  <cols>
    <col min="1" max="1" width="8.75" customWidth="1"/>
    <col min="2" max="2" width="13.5" customWidth="1"/>
    <col min="3" max="3" width="11.125" customWidth="1"/>
    <col min="4" max="4" width="11.5" customWidth="1"/>
    <col min="5" max="5" width="11.875" customWidth="1"/>
    <col min="10" max="10" width="11.75" customWidth="1"/>
    <col min="11" max="11" width="11.125" bestFit="1" customWidth="1"/>
  </cols>
  <sheetData>
    <row r="1" spans="1:11" ht="18.75">
      <c r="A1" s="740" t="s">
        <v>523</v>
      </c>
      <c r="B1" s="741"/>
      <c r="C1" s="741"/>
      <c r="D1" s="741"/>
      <c r="E1" s="741"/>
      <c r="F1" s="741"/>
      <c r="G1" s="741"/>
      <c r="H1" s="741"/>
      <c r="I1" s="741"/>
      <c r="J1" s="741"/>
      <c r="K1" s="742"/>
    </row>
    <row r="2" spans="1:11" ht="18.75">
      <c r="A2" s="743" t="s">
        <v>524</v>
      </c>
      <c r="B2" s="744"/>
      <c r="C2" s="744"/>
      <c r="D2" s="744"/>
      <c r="E2" s="744"/>
      <c r="F2" s="744"/>
      <c r="G2" s="744"/>
      <c r="H2" s="744"/>
      <c r="I2" s="744"/>
      <c r="J2" s="744"/>
      <c r="K2" s="745"/>
    </row>
    <row r="4" spans="1:11">
      <c r="A4" s="746" t="s">
        <v>525</v>
      </c>
      <c r="B4" s="747"/>
      <c r="C4" s="747"/>
      <c r="D4" s="747"/>
      <c r="E4" s="748"/>
      <c r="G4" s="746" t="s">
        <v>526</v>
      </c>
      <c r="H4" s="747"/>
      <c r="I4" s="747"/>
      <c r="J4" s="747"/>
      <c r="K4" s="748"/>
    </row>
    <row r="5" spans="1:11">
      <c r="A5" s="749"/>
      <c r="B5" s="750"/>
      <c r="C5" s="750"/>
      <c r="D5" s="750"/>
      <c r="E5" s="751"/>
      <c r="G5" s="749"/>
      <c r="H5" s="750"/>
      <c r="I5" s="750"/>
      <c r="J5" s="750"/>
      <c r="K5" s="751"/>
    </row>
    <row r="6" spans="1:11">
      <c r="A6" s="752" t="s">
        <v>527</v>
      </c>
      <c r="B6" s="752" t="s">
        <v>505</v>
      </c>
      <c r="C6" s="752" t="s">
        <v>528</v>
      </c>
      <c r="D6" s="752" t="s">
        <v>529</v>
      </c>
      <c r="E6" s="752" t="s">
        <v>530</v>
      </c>
      <c r="G6" s="752" t="s">
        <v>531</v>
      </c>
      <c r="H6" s="752" t="s">
        <v>505</v>
      </c>
      <c r="I6" s="752" t="s">
        <v>528</v>
      </c>
      <c r="J6" s="752" t="s">
        <v>529</v>
      </c>
      <c r="K6" s="752" t="s">
        <v>530</v>
      </c>
    </row>
    <row r="7" spans="1:11">
      <c r="A7" s="753"/>
      <c r="B7" s="753"/>
      <c r="C7" s="753"/>
      <c r="D7" s="753"/>
      <c r="E7" s="753"/>
      <c r="G7" s="753"/>
      <c r="H7" s="753"/>
      <c r="I7" s="753"/>
      <c r="J7" s="753"/>
      <c r="K7" s="753"/>
    </row>
    <row r="8" spans="1:11">
      <c r="A8" s="754" t="s">
        <v>532</v>
      </c>
      <c r="B8" s="756" t="s">
        <v>28</v>
      </c>
      <c r="C8" s="756" t="s">
        <v>28</v>
      </c>
      <c r="D8" s="756" t="s">
        <v>28</v>
      </c>
      <c r="E8" s="756" t="s">
        <v>28</v>
      </c>
      <c r="G8" s="754" t="s">
        <v>532</v>
      </c>
      <c r="H8" s="756" t="s">
        <v>33</v>
      </c>
      <c r="I8" s="756" t="s">
        <v>33</v>
      </c>
      <c r="J8" s="756" t="s">
        <v>10</v>
      </c>
      <c r="K8" s="756" t="s">
        <v>10</v>
      </c>
    </row>
    <row r="9" spans="1:11">
      <c r="A9" s="755"/>
      <c r="B9" s="757"/>
      <c r="C9" s="757"/>
      <c r="D9" s="757"/>
      <c r="E9" s="757"/>
      <c r="G9" s="755"/>
      <c r="H9" s="757"/>
      <c r="I9" s="757"/>
      <c r="J9" s="757"/>
      <c r="K9" s="757"/>
    </row>
    <row r="10" spans="1:11">
      <c r="A10" s="754" t="s">
        <v>533</v>
      </c>
      <c r="B10" s="756" t="s">
        <v>33</v>
      </c>
      <c r="C10" s="756" t="s">
        <v>534</v>
      </c>
      <c r="D10" s="756" t="s">
        <v>33</v>
      </c>
      <c r="E10" s="756" t="s">
        <v>33</v>
      </c>
      <c r="G10" s="754" t="s">
        <v>533</v>
      </c>
      <c r="H10" s="756" t="s">
        <v>10</v>
      </c>
      <c r="I10" s="756" t="s">
        <v>10</v>
      </c>
      <c r="J10" s="756" t="s">
        <v>33</v>
      </c>
      <c r="K10" s="756" t="s">
        <v>33</v>
      </c>
    </row>
    <row r="11" spans="1:11">
      <c r="A11" s="755"/>
      <c r="B11" s="757"/>
      <c r="C11" s="757"/>
      <c r="D11" s="757"/>
      <c r="E11" s="757"/>
      <c r="G11" s="755"/>
      <c r="H11" s="757"/>
      <c r="I11" s="757"/>
      <c r="J11" s="757"/>
      <c r="K11" s="757"/>
    </row>
    <row r="12" spans="1:11">
      <c r="A12" s="754" t="s">
        <v>535</v>
      </c>
      <c r="B12" s="756" t="s">
        <v>28</v>
      </c>
      <c r="C12" s="756" t="s">
        <v>28</v>
      </c>
      <c r="D12" s="756" t="s">
        <v>10</v>
      </c>
      <c r="E12" s="756" t="s">
        <v>28</v>
      </c>
      <c r="G12" s="754" t="s">
        <v>535</v>
      </c>
      <c r="H12" s="756" t="s">
        <v>534</v>
      </c>
      <c r="I12" s="756" t="s">
        <v>534</v>
      </c>
      <c r="J12" s="756" t="s">
        <v>10</v>
      </c>
      <c r="K12" s="756" t="s">
        <v>10</v>
      </c>
    </row>
    <row r="13" spans="1:11">
      <c r="A13" s="755"/>
      <c r="B13" s="757"/>
      <c r="C13" s="757"/>
      <c r="D13" s="757"/>
      <c r="E13" s="757"/>
      <c r="G13" s="755"/>
      <c r="H13" s="757"/>
      <c r="I13" s="757"/>
      <c r="J13" s="757"/>
      <c r="K13" s="757"/>
    </row>
    <row r="14" spans="1:11">
      <c r="A14" s="258"/>
      <c r="B14" s="259"/>
      <c r="G14" s="258"/>
    </row>
    <row r="15" spans="1:11">
      <c r="A15" s="746" t="s">
        <v>536</v>
      </c>
      <c r="B15" s="747"/>
      <c r="C15" s="747"/>
      <c r="D15" s="747"/>
      <c r="E15" s="748"/>
      <c r="G15" s="260"/>
      <c r="H15" s="261"/>
      <c r="I15" s="261"/>
      <c r="J15" s="261"/>
      <c r="K15" s="262"/>
    </row>
    <row r="16" spans="1:11">
      <c r="A16" s="749"/>
      <c r="B16" s="750"/>
      <c r="C16" s="750"/>
      <c r="D16" s="750"/>
      <c r="E16" s="751"/>
      <c r="G16" s="758" t="s">
        <v>537</v>
      </c>
      <c r="H16" s="758" t="s">
        <v>505</v>
      </c>
      <c r="I16" s="758" t="s">
        <v>528</v>
      </c>
      <c r="J16" s="758" t="s">
        <v>529</v>
      </c>
      <c r="K16" s="758" t="s">
        <v>530</v>
      </c>
    </row>
    <row r="17" spans="1:11">
      <c r="A17" s="758" t="s">
        <v>531</v>
      </c>
      <c r="B17" s="758" t="s">
        <v>538</v>
      </c>
      <c r="C17" s="758" t="s">
        <v>528</v>
      </c>
      <c r="D17" s="752" t="s">
        <v>529</v>
      </c>
      <c r="E17" s="758" t="s">
        <v>530</v>
      </c>
      <c r="G17" s="759"/>
      <c r="H17" s="759"/>
      <c r="I17" s="759"/>
      <c r="J17" s="759"/>
      <c r="K17" s="759"/>
    </row>
    <row r="18" spans="1:11">
      <c r="A18" s="759"/>
      <c r="B18" s="759"/>
      <c r="C18" s="759"/>
      <c r="D18" s="753"/>
      <c r="E18" s="759"/>
      <c r="G18" s="754" t="s">
        <v>532</v>
      </c>
      <c r="H18" s="756" t="s">
        <v>33</v>
      </c>
      <c r="I18" s="756" t="s">
        <v>10</v>
      </c>
      <c r="J18" s="756" t="s">
        <v>33</v>
      </c>
      <c r="K18" s="756" t="s">
        <v>26</v>
      </c>
    </row>
    <row r="19" spans="1:11">
      <c r="A19" s="754" t="s">
        <v>532</v>
      </c>
      <c r="B19" s="756" t="s">
        <v>26</v>
      </c>
      <c r="C19" s="756" t="s">
        <v>26</v>
      </c>
      <c r="D19" s="756" t="s">
        <v>26</v>
      </c>
      <c r="E19" s="756" t="s">
        <v>26</v>
      </c>
      <c r="G19" s="755"/>
      <c r="H19" s="757"/>
      <c r="I19" s="757"/>
      <c r="J19" s="757"/>
      <c r="K19" s="757"/>
    </row>
    <row r="20" spans="1:11">
      <c r="A20" s="755"/>
      <c r="B20" s="757"/>
      <c r="C20" s="757"/>
      <c r="D20" s="757"/>
      <c r="E20" s="757"/>
      <c r="G20" s="754" t="s">
        <v>533</v>
      </c>
      <c r="H20" s="756" t="s">
        <v>10</v>
      </c>
      <c r="I20" s="756" t="s">
        <v>534</v>
      </c>
      <c r="J20" s="756" t="s">
        <v>10</v>
      </c>
      <c r="K20" s="756" t="s">
        <v>534</v>
      </c>
    </row>
    <row r="21" spans="1:11">
      <c r="A21" s="754" t="s">
        <v>533</v>
      </c>
      <c r="B21" s="756" t="s">
        <v>33</v>
      </c>
      <c r="C21" s="756" t="s">
        <v>534</v>
      </c>
      <c r="D21" s="756" t="s">
        <v>33</v>
      </c>
      <c r="E21" s="756" t="s">
        <v>534</v>
      </c>
      <c r="G21" s="755"/>
      <c r="H21" s="757"/>
      <c r="I21" s="757"/>
      <c r="J21" s="757"/>
      <c r="K21" s="757"/>
    </row>
    <row r="22" spans="1:11">
      <c r="A22" s="755"/>
      <c r="B22" s="757"/>
      <c r="C22" s="757"/>
      <c r="D22" s="757"/>
      <c r="E22" s="757"/>
      <c r="G22" s="754" t="s">
        <v>535</v>
      </c>
      <c r="H22" s="756" t="s">
        <v>534</v>
      </c>
      <c r="I22" s="756" t="s">
        <v>26</v>
      </c>
      <c r="J22" s="756" t="s">
        <v>534</v>
      </c>
      <c r="K22" s="756" t="s">
        <v>10</v>
      </c>
    </row>
    <row r="23" spans="1:11">
      <c r="A23" s="754" t="s">
        <v>535</v>
      </c>
      <c r="B23" s="756" t="s">
        <v>26</v>
      </c>
      <c r="C23" s="756" t="s">
        <v>26</v>
      </c>
      <c r="D23" s="756" t="s">
        <v>10</v>
      </c>
      <c r="E23" s="756" t="s">
        <v>26</v>
      </c>
      <c r="G23" s="755"/>
      <c r="H23" s="760"/>
      <c r="I23" s="757"/>
      <c r="J23" s="760"/>
      <c r="K23" s="757"/>
    </row>
    <row r="24" spans="1:11">
      <c r="A24" s="755"/>
      <c r="B24" s="760"/>
      <c r="C24" s="757"/>
      <c r="D24" s="757"/>
      <c r="E24" s="757"/>
      <c r="G24" s="258"/>
      <c r="H24" s="259"/>
      <c r="I24" s="263"/>
      <c r="J24" s="259"/>
      <c r="K24" s="263"/>
    </row>
    <row r="25" spans="1:11">
      <c r="G25" s="258"/>
      <c r="H25" s="259"/>
      <c r="I25" s="263"/>
      <c r="J25" s="259"/>
      <c r="K25" s="263"/>
    </row>
    <row r="26" spans="1:11">
      <c r="A26" s="258" t="s">
        <v>2</v>
      </c>
      <c r="B26" s="259" t="s">
        <v>2</v>
      </c>
      <c r="G26" s="264"/>
    </row>
    <row r="27" spans="1:11">
      <c r="A27" s="258"/>
      <c r="B27" s="259"/>
      <c r="G27" s="264"/>
    </row>
    <row r="28" spans="1:11">
      <c r="A28" s="258"/>
      <c r="B28" s="259"/>
      <c r="G28" s="264"/>
    </row>
    <row r="29" spans="1:11">
      <c r="A29" s="258"/>
      <c r="B29" s="259"/>
      <c r="G29" s="264"/>
    </row>
    <row r="30" spans="1:11">
      <c r="A30" s="258"/>
      <c r="B30" s="259"/>
      <c r="G30" s="264"/>
    </row>
    <row r="31" spans="1:11">
      <c r="A31" s="258"/>
      <c r="B31" s="259"/>
      <c r="G31" s="264"/>
    </row>
    <row r="32" spans="1:11">
      <c r="A32" s="258"/>
    </row>
    <row r="33" spans="1:11">
      <c r="A33" s="258"/>
    </row>
    <row r="34" spans="1:11">
      <c r="A34" s="761" t="s">
        <v>539</v>
      </c>
      <c r="B34" s="762"/>
      <c r="C34" s="762"/>
      <c r="D34" s="762"/>
      <c r="E34" s="762"/>
      <c r="F34" s="762"/>
      <c r="G34" s="762"/>
      <c r="H34" s="762"/>
      <c r="I34" s="762"/>
      <c r="J34" s="762"/>
      <c r="K34" s="763"/>
    </row>
    <row r="35" spans="1:11">
      <c r="A35" s="764" t="s">
        <v>540</v>
      </c>
      <c r="B35" s="764"/>
      <c r="C35" s="764"/>
      <c r="D35" s="764"/>
      <c r="E35" s="764"/>
      <c r="F35" s="764"/>
      <c r="G35" s="764"/>
      <c r="H35" s="764"/>
      <c r="I35" s="764"/>
      <c r="J35" s="764"/>
      <c r="K35" s="764"/>
    </row>
    <row r="37" spans="1:11">
      <c r="A37" s="765" t="s">
        <v>505</v>
      </c>
      <c r="B37" s="766"/>
      <c r="C37" s="766"/>
      <c r="D37" s="766"/>
      <c r="E37" s="766"/>
      <c r="F37" s="766"/>
      <c r="G37" s="766"/>
      <c r="H37" s="766"/>
      <c r="I37" s="766"/>
      <c r="J37" s="766"/>
      <c r="K37" s="767"/>
    </row>
    <row r="38" spans="1:11">
      <c r="A38" s="265"/>
      <c r="B38" s="5"/>
      <c r="C38" s="5"/>
      <c r="D38" s="5"/>
      <c r="E38" s="5"/>
      <c r="F38" s="5"/>
      <c r="G38" s="5"/>
      <c r="H38" s="5"/>
      <c r="I38" s="5"/>
      <c r="J38" s="5"/>
      <c r="K38" s="266"/>
    </row>
    <row r="39" spans="1:11">
      <c r="A39" s="768" t="s">
        <v>541</v>
      </c>
      <c r="B39" s="769" t="s">
        <v>542</v>
      </c>
      <c r="C39" s="770" t="s">
        <v>543</v>
      </c>
      <c r="D39" s="770" t="s">
        <v>544</v>
      </c>
      <c r="E39" s="771" t="s">
        <v>517</v>
      </c>
      <c r="F39" s="5"/>
      <c r="G39" s="768" t="s">
        <v>545</v>
      </c>
      <c r="H39" s="769" t="s">
        <v>10</v>
      </c>
      <c r="I39" s="772" t="s">
        <v>546</v>
      </c>
      <c r="J39" s="773" t="s">
        <v>547</v>
      </c>
      <c r="K39" s="771" t="s">
        <v>517</v>
      </c>
    </row>
    <row r="40" spans="1:11">
      <c r="A40" s="768"/>
      <c r="B40" s="769"/>
      <c r="C40" s="770"/>
      <c r="D40" s="770"/>
      <c r="E40" s="771"/>
      <c r="F40" s="5"/>
      <c r="G40" s="768"/>
      <c r="H40" s="769"/>
      <c r="I40" s="772"/>
      <c r="J40" s="773"/>
      <c r="K40" s="771"/>
    </row>
    <row r="41" spans="1:11">
      <c r="A41" s="774" t="s">
        <v>2</v>
      </c>
      <c r="B41" s="775" t="s">
        <v>548</v>
      </c>
      <c r="C41" s="776">
        <v>6</v>
      </c>
      <c r="D41" s="778">
        <f>(C41*Programme!F51)</f>
        <v>1.7853731489585155E-2</v>
      </c>
      <c r="E41" s="780">
        <f>Programme!C48</f>
        <v>163.30779906542057</v>
      </c>
      <c r="F41" s="5"/>
      <c r="G41" s="774" t="s">
        <v>2</v>
      </c>
      <c r="H41" s="775" t="s">
        <v>549</v>
      </c>
      <c r="I41" s="782" t="s">
        <v>550</v>
      </c>
      <c r="J41" s="778">
        <f>Programme!C70</f>
        <v>1.1255768979914311E-3</v>
      </c>
      <c r="K41" s="780">
        <f>Programme!F58</f>
        <v>187</v>
      </c>
    </row>
    <row r="42" spans="1:11">
      <c r="A42" s="774"/>
      <c r="B42" s="775"/>
      <c r="C42" s="777"/>
      <c r="D42" s="779"/>
      <c r="E42" s="781"/>
      <c r="F42" s="5"/>
      <c r="G42" s="774"/>
      <c r="H42" s="775"/>
      <c r="I42" s="782"/>
      <c r="J42" s="783"/>
      <c r="K42" s="781"/>
    </row>
    <row r="43" spans="1:11" ht="18.75">
      <c r="A43" s="267"/>
      <c r="B43" s="268">
        <f>Programme!F51</f>
        <v>2.9756219149308593E-3</v>
      </c>
      <c r="C43" s="269" t="s">
        <v>551</v>
      </c>
      <c r="D43" s="270"/>
      <c r="E43" s="271"/>
      <c r="F43" s="5"/>
      <c r="G43" s="272"/>
      <c r="H43" s="273"/>
      <c r="I43" s="274"/>
      <c r="J43" s="275"/>
      <c r="K43" s="276"/>
    </row>
    <row r="44" spans="1:11" ht="18.75">
      <c r="A44" s="267"/>
      <c r="B44" s="273"/>
      <c r="C44" s="270"/>
      <c r="D44" s="270"/>
      <c r="E44" s="271"/>
      <c r="F44" s="5"/>
      <c r="G44" s="5"/>
      <c r="H44" s="5"/>
      <c r="I44" s="5"/>
      <c r="J44" s="5"/>
      <c r="K44" s="266"/>
    </row>
    <row r="45" spans="1:11">
      <c r="A45" s="768" t="s">
        <v>552</v>
      </c>
      <c r="B45" s="769" t="s">
        <v>33</v>
      </c>
      <c r="C45" s="770" t="s">
        <v>47</v>
      </c>
      <c r="D45" s="770" t="s">
        <v>553</v>
      </c>
      <c r="E45" s="770" t="s">
        <v>544</v>
      </c>
      <c r="K45" s="266"/>
    </row>
    <row r="46" spans="1:11">
      <c r="A46" s="768"/>
      <c r="B46" s="769"/>
      <c r="C46" s="770"/>
      <c r="D46" s="770"/>
      <c r="E46" s="770"/>
      <c r="F46" s="259"/>
      <c r="K46" s="266"/>
    </row>
    <row r="47" spans="1:11">
      <c r="A47" s="774" t="s">
        <v>2</v>
      </c>
      <c r="B47" s="775" t="s">
        <v>554</v>
      </c>
      <c r="C47" s="784">
        <v>0.7</v>
      </c>
      <c r="D47" s="786">
        <v>8</v>
      </c>
      <c r="E47" s="778">
        <f>Programme!C102 *D47</f>
        <v>2.7205288284979798E-2</v>
      </c>
      <c r="F47" s="245"/>
      <c r="K47" s="266"/>
    </row>
    <row r="48" spans="1:11" ht="18.75">
      <c r="A48" s="774"/>
      <c r="B48" s="775"/>
      <c r="C48" s="785"/>
      <c r="D48" s="787"/>
      <c r="E48" s="788"/>
      <c r="F48" s="277"/>
      <c r="K48" s="266"/>
    </row>
    <row r="49" spans="1:11" ht="19.5">
      <c r="A49" s="265"/>
      <c r="B49" s="268">
        <f>Programme!C102</f>
        <v>3.4006610356224747E-3</v>
      </c>
      <c r="C49" s="269" t="s">
        <v>551</v>
      </c>
      <c r="D49" s="278" t="s">
        <v>555</v>
      </c>
      <c r="E49" s="363">
        <f>Programme!F62</f>
        <v>151.47</v>
      </c>
      <c r="F49" s="5"/>
      <c r="G49" s="5"/>
      <c r="H49" s="5"/>
      <c r="I49" s="5"/>
      <c r="J49" s="5"/>
      <c r="K49" s="266"/>
    </row>
    <row r="50" spans="1:11">
      <c r="A50" s="279"/>
      <c r="B50" s="9"/>
      <c r="C50" s="9"/>
      <c r="D50" s="9"/>
      <c r="E50" s="9"/>
      <c r="F50" s="9"/>
      <c r="G50" s="9"/>
      <c r="H50" s="9"/>
      <c r="I50" s="9"/>
      <c r="J50" s="9"/>
      <c r="K50" s="280"/>
    </row>
    <row r="51" spans="1:11">
      <c r="A51" s="5"/>
      <c r="B51" s="5"/>
      <c r="C51" s="5"/>
      <c r="D51" s="5"/>
      <c r="E51" s="5"/>
      <c r="F51" s="5"/>
      <c r="G51" s="5"/>
      <c r="H51" s="5"/>
      <c r="I51" s="5"/>
      <c r="J51" s="5"/>
      <c r="K51" s="5"/>
    </row>
    <row r="52" spans="1:11">
      <c r="A52" s="765" t="s">
        <v>506</v>
      </c>
      <c r="B52" s="766"/>
      <c r="C52" s="766"/>
      <c r="D52" s="766"/>
      <c r="E52" s="766"/>
      <c r="F52" s="766"/>
      <c r="G52" s="766"/>
      <c r="H52" s="766"/>
      <c r="I52" s="766"/>
      <c r="J52" s="766"/>
      <c r="K52" s="767"/>
    </row>
    <row r="53" spans="1:11">
      <c r="A53" s="265"/>
      <c r="B53" s="5"/>
      <c r="C53" s="5"/>
      <c r="D53" s="5"/>
      <c r="E53" s="5"/>
      <c r="F53" s="5"/>
      <c r="G53" s="5"/>
      <c r="H53" s="5"/>
      <c r="I53" s="5"/>
      <c r="J53" s="5"/>
      <c r="K53" s="266"/>
    </row>
    <row r="54" spans="1:11">
      <c r="A54" s="789" t="s">
        <v>541</v>
      </c>
      <c r="B54" s="791" t="s">
        <v>556</v>
      </c>
      <c r="C54" s="793" t="s">
        <v>557</v>
      </c>
      <c r="D54" s="793" t="s">
        <v>553</v>
      </c>
      <c r="E54" s="793" t="s">
        <v>544</v>
      </c>
      <c r="F54" s="5"/>
      <c r="G54" s="789" t="s">
        <v>545</v>
      </c>
      <c r="H54" s="791" t="s">
        <v>558</v>
      </c>
      <c r="I54" s="793" t="s">
        <v>559</v>
      </c>
      <c r="J54" s="793" t="s">
        <v>544</v>
      </c>
      <c r="K54" s="795" t="s">
        <v>517</v>
      </c>
    </row>
    <row r="55" spans="1:11">
      <c r="A55" s="790"/>
      <c r="B55" s="792"/>
      <c r="C55" s="794"/>
      <c r="D55" s="794"/>
      <c r="E55" s="794"/>
      <c r="F55" s="5"/>
      <c r="G55" s="790"/>
      <c r="H55" s="792"/>
      <c r="I55" s="794"/>
      <c r="J55" s="794"/>
      <c r="K55" s="796"/>
    </row>
    <row r="56" spans="1:11">
      <c r="A56" s="797" t="s">
        <v>534</v>
      </c>
      <c r="B56" s="756" t="s">
        <v>560</v>
      </c>
      <c r="C56" s="799">
        <f>Programme!A60</f>
        <v>85</v>
      </c>
      <c r="D56" s="801">
        <v>15</v>
      </c>
      <c r="E56" s="803">
        <f>B58*D56</f>
        <v>4.2016134453781516E-2</v>
      </c>
      <c r="F56" s="5"/>
      <c r="G56" s="754" t="s">
        <v>2</v>
      </c>
      <c r="H56" s="756" t="s">
        <v>561</v>
      </c>
      <c r="I56" s="805" t="s">
        <v>562</v>
      </c>
      <c r="J56" s="803">
        <f>Programme!C82</f>
        <v>2.6457142857142855E-3</v>
      </c>
      <c r="K56" s="808">
        <f>Programme!F59</f>
        <v>175.14559813084111</v>
      </c>
    </row>
    <row r="57" spans="1:11" ht="16.5" thickBot="1">
      <c r="A57" s="798"/>
      <c r="B57" s="757"/>
      <c r="C57" s="800"/>
      <c r="D57" s="802"/>
      <c r="E57" s="804"/>
      <c r="F57" s="5"/>
      <c r="G57" s="755"/>
      <c r="H57" s="757"/>
      <c r="I57" s="806"/>
      <c r="J57" s="807"/>
      <c r="K57" s="809"/>
    </row>
    <row r="58" spans="1:11" ht="19.5">
      <c r="A58" s="267"/>
      <c r="B58" s="268">
        <f>Programme!C91</f>
        <v>2.801075630252101E-3</v>
      </c>
      <c r="C58" s="269" t="s">
        <v>551</v>
      </c>
      <c r="D58" s="281" t="s">
        <v>555</v>
      </c>
      <c r="E58" s="386">
        <f>Programme!F60</f>
        <v>169.21839719626166</v>
      </c>
      <c r="F58" s="283"/>
      <c r="G58" s="272"/>
      <c r="H58" s="273"/>
      <c r="I58" s="274"/>
      <c r="J58" s="275"/>
      <c r="K58" s="276"/>
    </row>
    <row r="59" spans="1:11">
      <c r="A59" s="265"/>
      <c r="B59" s="5"/>
      <c r="C59" s="5"/>
      <c r="D59" s="5"/>
      <c r="E59" s="5"/>
      <c r="F59" s="5"/>
      <c r="G59" s="5"/>
      <c r="H59" s="5"/>
      <c r="I59" s="5"/>
      <c r="J59" s="5"/>
      <c r="K59" s="266"/>
    </row>
    <row r="60" spans="1:11">
      <c r="A60" s="789" t="s">
        <v>552</v>
      </c>
      <c r="B60" s="791" t="s">
        <v>33</v>
      </c>
      <c r="C60" s="793" t="s">
        <v>47</v>
      </c>
      <c r="D60" s="793" t="s">
        <v>553</v>
      </c>
      <c r="E60" s="793" t="s">
        <v>544</v>
      </c>
      <c r="F60" s="5"/>
      <c r="G60" s="789" t="s">
        <v>563</v>
      </c>
      <c r="H60" s="810" t="s">
        <v>564</v>
      </c>
      <c r="I60" s="811"/>
      <c r="J60" s="811"/>
      <c r="K60" s="812"/>
    </row>
    <row r="61" spans="1:11">
      <c r="A61" s="790"/>
      <c r="B61" s="792"/>
      <c r="C61" s="794"/>
      <c r="D61" s="794"/>
      <c r="E61" s="794"/>
      <c r="F61" s="5"/>
      <c r="G61" s="790"/>
      <c r="H61" s="813"/>
      <c r="I61" s="814"/>
      <c r="J61" s="814"/>
      <c r="K61" s="815"/>
    </row>
    <row r="62" spans="1:11">
      <c r="A62" s="754" t="s">
        <v>2</v>
      </c>
      <c r="B62" s="756" t="s">
        <v>565</v>
      </c>
      <c r="C62" s="816">
        <v>0.7</v>
      </c>
      <c r="D62" s="801">
        <v>12</v>
      </c>
      <c r="E62" s="803">
        <f>B64 *D62</f>
        <v>4.0807932427469697E-2</v>
      </c>
      <c r="F62" s="5"/>
      <c r="G62" s="819"/>
      <c r="H62" s="821" t="s">
        <v>566</v>
      </c>
      <c r="I62" s="822"/>
      <c r="J62" s="822"/>
      <c r="K62" s="823"/>
    </row>
    <row r="63" spans="1:11">
      <c r="A63" s="755"/>
      <c r="B63" s="757"/>
      <c r="C63" s="817"/>
      <c r="D63" s="818"/>
      <c r="E63" s="804"/>
      <c r="F63" s="5"/>
      <c r="G63" s="820"/>
      <c r="H63" s="824"/>
      <c r="I63" s="825"/>
      <c r="J63" s="825"/>
      <c r="K63" s="826"/>
    </row>
    <row r="64" spans="1:11" ht="19.5">
      <c r="A64" s="267"/>
      <c r="B64" s="268">
        <f>B49</f>
        <v>3.4006610356224747E-3</v>
      </c>
      <c r="C64" s="269" t="s">
        <v>551</v>
      </c>
      <c r="D64" s="281" t="s">
        <v>555</v>
      </c>
      <c r="E64" s="386">
        <f>Programme!F62</f>
        <v>151.47</v>
      </c>
      <c r="F64" s="284"/>
      <c r="G64" s="5"/>
      <c r="H64" s="5"/>
      <c r="I64" s="5"/>
      <c r="J64" s="5"/>
      <c r="K64" s="266"/>
    </row>
    <row r="65" spans="1:11" ht="19.5" thickBot="1">
      <c r="A65" s="285"/>
      <c r="B65" s="286"/>
      <c r="C65" s="287"/>
      <c r="D65" s="288"/>
      <c r="E65" s="289"/>
      <c r="F65" s="290"/>
      <c r="G65" s="9"/>
      <c r="H65" s="9"/>
      <c r="I65" s="9"/>
      <c r="J65" s="9"/>
      <c r="K65" s="280"/>
    </row>
    <row r="66" spans="1:11">
      <c r="A66" s="245"/>
      <c r="B66" s="291"/>
      <c r="C66" s="827" t="s">
        <v>567</v>
      </c>
      <c r="D66" s="828"/>
      <c r="E66" s="141" t="s">
        <v>568</v>
      </c>
      <c r="F66" s="292">
        <v>186</v>
      </c>
      <c r="G66" s="293" t="s">
        <v>10</v>
      </c>
      <c r="H66" s="397">
        <v>16.5</v>
      </c>
      <c r="I66" s="354" t="s">
        <v>11</v>
      </c>
      <c r="J66" s="5"/>
      <c r="K66" s="5"/>
    </row>
    <row r="67" spans="1:11" ht="16.5" thickBot="1">
      <c r="C67" s="294"/>
      <c r="D67" s="295"/>
      <c r="E67" s="295"/>
      <c r="F67" s="5"/>
      <c r="G67" s="5"/>
      <c r="I67" s="266"/>
      <c r="J67" s="5"/>
      <c r="K67" s="5"/>
    </row>
    <row r="68" spans="1:11" ht="16.5" thickBot="1">
      <c r="C68" s="294"/>
      <c r="D68" s="296"/>
      <c r="E68" s="297" t="s">
        <v>12</v>
      </c>
      <c r="F68" s="298">
        <v>112</v>
      </c>
      <c r="G68" s="299" t="s">
        <v>13</v>
      </c>
      <c r="H68" s="147" t="str">
        <f>IF(F68&lt;F66*0.5652,"Excellente",IF(F68&lt;F66*0.5815,"Très bonne",IF(F68&lt;F66*0.6033,"Bonne",IF(F68&lt;F66*0.6304,"Moyenne",IF(F68&lt;F66*0.663,"Médiocre",IF(F68&lt;F66*0.6902,"Mauvaise","Très mauvaise"))))))</f>
        <v>Bonne</v>
      </c>
      <c r="I68" s="266"/>
      <c r="J68" s="5"/>
      <c r="K68" s="5"/>
    </row>
    <row r="69" spans="1:11">
      <c r="C69" s="294"/>
      <c r="D69" s="5"/>
      <c r="E69" s="5"/>
      <c r="F69" s="300" t="s">
        <v>569</v>
      </c>
      <c r="G69" s="301" t="s">
        <v>570</v>
      </c>
      <c r="H69" s="4">
        <f>(3.5*H66)</f>
        <v>57.75</v>
      </c>
      <c r="I69" s="355" t="s">
        <v>14</v>
      </c>
      <c r="K69" s="5"/>
    </row>
    <row r="70" spans="1:11" ht="16.5" thickBot="1">
      <c r="C70" s="829" t="s">
        <v>571</v>
      </c>
      <c r="D70" s="830"/>
      <c r="E70" s="302">
        <f>IF(H66&lt;10,75,IF(H66&lt;12,78,IF(H66&lt;13,80,IF(H66&lt;14,82,IF(H66&lt;15,84,IF(H66&lt;16,85,IF(H66&lt;18,87,90)))))))</f>
        <v>87</v>
      </c>
      <c r="F70" s="303" t="s">
        <v>129</v>
      </c>
      <c r="G70" s="304"/>
      <c r="H70" s="305"/>
      <c r="I70" s="356"/>
      <c r="J70" s="5"/>
      <c r="K70" s="5"/>
    </row>
    <row r="71" spans="1:11">
      <c r="C71" s="300"/>
      <c r="D71" s="300"/>
      <c r="E71" s="306"/>
      <c r="F71" s="307"/>
      <c r="G71" s="301"/>
      <c r="H71" s="308"/>
      <c r="I71" s="309"/>
      <c r="J71" s="5"/>
      <c r="K71" s="5"/>
    </row>
    <row r="72" spans="1:11">
      <c r="C72" s="310" t="s">
        <v>21</v>
      </c>
      <c r="D72" s="310" t="s">
        <v>22</v>
      </c>
      <c r="E72" s="310" t="s">
        <v>23</v>
      </c>
      <c r="F72" s="831" t="s">
        <v>572</v>
      </c>
      <c r="G72" s="832"/>
      <c r="H72" s="831" t="s">
        <v>573</v>
      </c>
      <c r="I72" s="832"/>
      <c r="J72" s="5"/>
      <c r="K72" s="5"/>
    </row>
    <row r="73" spans="1:11">
      <c r="C73" s="10">
        <v>100</v>
      </c>
      <c r="D73" s="4">
        <f>H66</f>
        <v>16.5</v>
      </c>
      <c r="E73" s="4">
        <f t="shared" ref="E73:E79" si="0">(D73/3.6)</f>
        <v>4.583333333333333</v>
      </c>
      <c r="F73" s="833" t="s">
        <v>25</v>
      </c>
      <c r="G73" s="834"/>
      <c r="H73" s="835">
        <f>F66</f>
        <v>186</v>
      </c>
      <c r="I73" s="836"/>
      <c r="J73" s="5"/>
      <c r="K73" s="311" t="s">
        <v>2</v>
      </c>
    </row>
    <row r="74" spans="1:11">
      <c r="C74" s="312">
        <f>E70</f>
        <v>87</v>
      </c>
      <c r="D74" s="4">
        <f>(C74*H66/100)</f>
        <v>14.355</v>
      </c>
      <c r="E74" s="4">
        <f t="shared" si="0"/>
        <v>3.9874999999999998</v>
      </c>
      <c r="F74" s="833" t="s">
        <v>26</v>
      </c>
      <c r="G74" s="834"/>
      <c r="H74" s="837">
        <f>((H73-H77)/(D73-D77)*D74+(H73-I79*D73))</f>
        <v>170.67168785046726</v>
      </c>
      <c r="I74" s="838"/>
      <c r="J74" s="5"/>
    </row>
    <row r="75" spans="1:11">
      <c r="C75" s="17">
        <f>IF(C74=80,C74-3,C74-5)</f>
        <v>82</v>
      </c>
      <c r="D75" s="4">
        <f>(C75*H66/100)</f>
        <v>13.53</v>
      </c>
      <c r="E75" s="4">
        <f t="shared" si="0"/>
        <v>3.7583333333333329</v>
      </c>
      <c r="F75" s="833" t="s">
        <v>27</v>
      </c>
      <c r="G75" s="834"/>
      <c r="H75" s="837">
        <f>((H73-H77)/(D73-D77)*D75+(H73-I79*D73))</f>
        <v>164.77618317757009</v>
      </c>
      <c r="I75" s="838"/>
      <c r="J75" s="313" t="s">
        <v>574</v>
      </c>
    </row>
    <row r="76" spans="1:11">
      <c r="C76" s="314">
        <f>(C77+C74)/2</f>
        <v>78.5140056022409</v>
      </c>
      <c r="D76" s="47">
        <f>(C76*H66/100)</f>
        <v>12.954810924369749</v>
      </c>
      <c r="E76" s="47">
        <f t="shared" si="0"/>
        <v>3.5985585901027077</v>
      </c>
      <c r="F76" s="315" t="s">
        <v>28</v>
      </c>
      <c r="G76" s="315"/>
      <c r="H76" s="837">
        <f>((H73-H77)/(D73-D77)*D76+(H73-I79*D73))</f>
        <v>160.66584392523362</v>
      </c>
      <c r="I76" s="838"/>
      <c r="J76" s="316" t="s">
        <v>575</v>
      </c>
    </row>
    <row r="77" spans="1:11">
      <c r="C77" s="17">
        <v>70.0280112044818</v>
      </c>
      <c r="D77" s="4">
        <f>(C77*H66/100)</f>
        <v>11.554621848739497</v>
      </c>
      <c r="E77" s="4">
        <f t="shared" si="0"/>
        <v>3.2096171802054156</v>
      </c>
      <c r="F77" s="833" t="s">
        <v>29</v>
      </c>
      <c r="G77" s="834"/>
      <c r="H77" s="837">
        <f>(81*H73/100)</f>
        <v>150.66</v>
      </c>
      <c r="I77" s="838"/>
      <c r="J77" s="5"/>
    </row>
    <row r="78" spans="1:11">
      <c r="C78" s="17">
        <v>135.01400560224093</v>
      </c>
      <c r="D78" s="4">
        <f>(C78*H66/100)</f>
        <v>22.277310924369754</v>
      </c>
      <c r="E78" s="4">
        <f t="shared" si="0"/>
        <v>6.1881419234360422</v>
      </c>
      <c r="F78" s="833" t="s">
        <v>30</v>
      </c>
      <c r="G78" s="834"/>
      <c r="H78" s="32"/>
      <c r="I78" s="31"/>
      <c r="J78" s="5"/>
      <c r="K78" s="5"/>
    </row>
    <row r="79" spans="1:11">
      <c r="C79" s="17">
        <v>105.0420168067227</v>
      </c>
      <c r="D79" s="4">
        <f>(C79*H66/100)</f>
        <v>17.331932773109244</v>
      </c>
      <c r="E79" s="4">
        <f t="shared" si="0"/>
        <v>4.814425770308123</v>
      </c>
      <c r="F79" s="833" t="s">
        <v>31</v>
      </c>
      <c r="G79" s="834"/>
      <c r="H79" s="32"/>
      <c r="I79" s="61">
        <f>(H73-H77)/(D73-D77)</f>
        <v>7.146066270178423</v>
      </c>
      <c r="J79" s="5"/>
      <c r="K79" s="5"/>
    </row>
    <row r="80" spans="1:11">
      <c r="C80" s="317"/>
      <c r="D80" s="308"/>
      <c r="E80" s="308"/>
      <c r="F80" s="318"/>
      <c r="G80" s="318"/>
      <c r="H80" s="319"/>
      <c r="I80" s="5"/>
      <c r="J80" s="5"/>
      <c r="K80" s="5"/>
    </row>
    <row r="81" spans="1:11">
      <c r="C81" s="317"/>
      <c r="D81" s="308"/>
      <c r="E81" s="308"/>
      <c r="F81" s="318"/>
      <c r="G81" s="318"/>
      <c r="H81" s="319"/>
      <c r="I81" s="5"/>
      <c r="J81" s="5"/>
      <c r="K81" s="5"/>
    </row>
    <row r="82" spans="1:11">
      <c r="C82" s="317"/>
      <c r="D82" s="308"/>
      <c r="E82" s="308"/>
      <c r="F82" s="318"/>
      <c r="G82" s="318"/>
      <c r="H82" s="319"/>
      <c r="I82" s="5"/>
      <c r="J82" s="5"/>
      <c r="K82" s="5"/>
    </row>
    <row r="83" spans="1:11">
      <c r="C83" s="317"/>
      <c r="D83" s="308"/>
      <c r="E83" s="308"/>
      <c r="F83" s="318"/>
      <c r="G83" s="318"/>
      <c r="H83" s="319"/>
      <c r="I83" s="5"/>
      <c r="J83" s="5"/>
      <c r="K83" s="5"/>
    </row>
    <row r="84" spans="1:11">
      <c r="C84" s="317"/>
      <c r="D84" s="308"/>
      <c r="E84" s="308"/>
      <c r="F84" s="318"/>
      <c r="G84" s="318"/>
      <c r="H84" s="319"/>
      <c r="I84" s="5"/>
      <c r="J84" s="5"/>
      <c r="K84" s="5"/>
    </row>
    <row r="85" spans="1:11">
      <c r="C85" s="317"/>
      <c r="D85" s="308"/>
      <c r="E85" s="308"/>
      <c r="F85" s="318"/>
      <c r="G85" s="318"/>
      <c r="H85" s="319"/>
      <c r="I85" s="5"/>
      <c r="J85" s="5"/>
      <c r="K85" s="5"/>
    </row>
    <row r="86" spans="1:11">
      <c r="C86" s="317"/>
      <c r="D86" s="308"/>
      <c r="E86" s="308"/>
      <c r="F86" s="318"/>
      <c r="G86" s="318"/>
      <c r="H86" s="319"/>
      <c r="I86" s="5"/>
      <c r="J86" s="5"/>
      <c r="K86" s="5"/>
    </row>
    <row r="87" spans="1:11">
      <c r="C87" s="317"/>
      <c r="D87" s="308"/>
      <c r="E87" s="308"/>
      <c r="F87" s="318"/>
      <c r="G87" s="318"/>
      <c r="H87" s="319"/>
      <c r="I87" s="5"/>
      <c r="J87" s="5"/>
      <c r="K87" s="5"/>
    </row>
    <row r="88" spans="1:11">
      <c r="C88" s="317"/>
      <c r="D88" s="308"/>
      <c r="E88" s="308"/>
      <c r="F88" s="318"/>
      <c r="G88" s="318"/>
      <c r="H88" s="319"/>
      <c r="I88" s="5"/>
      <c r="J88" s="5"/>
      <c r="K88" s="5"/>
    </row>
    <row r="89" spans="1:11">
      <c r="C89" s="317"/>
      <c r="D89" s="308"/>
      <c r="E89" s="308"/>
      <c r="F89" s="318"/>
      <c r="G89" s="318"/>
      <c r="H89" s="319"/>
      <c r="I89" s="5"/>
      <c r="J89" s="5"/>
      <c r="K89" s="5"/>
    </row>
    <row r="90" spans="1:11">
      <c r="C90" s="317"/>
      <c r="D90" s="308"/>
      <c r="E90" s="308"/>
      <c r="F90" s="318"/>
      <c r="G90" s="318"/>
      <c r="H90" s="319"/>
      <c r="I90" s="5"/>
      <c r="J90" s="5"/>
      <c r="K90" s="5"/>
    </row>
    <row r="91" spans="1:11">
      <c r="C91" s="317"/>
      <c r="D91" s="308"/>
      <c r="E91" s="308"/>
      <c r="F91" s="318"/>
      <c r="G91" s="318"/>
      <c r="H91" s="319"/>
      <c r="I91" s="5"/>
      <c r="J91" s="5"/>
      <c r="K91" s="5"/>
    </row>
    <row r="92" spans="1:11">
      <c r="C92" s="317"/>
      <c r="D92" s="308"/>
      <c r="E92" s="308"/>
      <c r="F92" s="318"/>
      <c r="G92" s="318"/>
      <c r="H92" s="319"/>
      <c r="I92" s="5"/>
      <c r="J92" s="5"/>
      <c r="K92" s="5"/>
    </row>
    <row r="93" spans="1:11">
      <c r="H93" s="5"/>
      <c r="I93" s="5"/>
      <c r="J93" s="5"/>
      <c r="K93" s="5"/>
    </row>
    <row r="94" spans="1:11">
      <c r="H94" s="5"/>
      <c r="I94" s="5"/>
      <c r="J94" s="5"/>
      <c r="K94" s="5"/>
    </row>
    <row r="95" spans="1:11">
      <c r="D95" s="320"/>
      <c r="E95" s="301"/>
      <c r="F95" s="308"/>
      <c r="G95" s="309"/>
    </row>
    <row r="96" spans="1:11">
      <c r="A96" s="765" t="s">
        <v>507</v>
      </c>
      <c r="B96" s="766"/>
      <c r="C96" s="766"/>
      <c r="D96" s="766"/>
      <c r="E96" s="766"/>
      <c r="F96" s="766"/>
      <c r="G96" s="766"/>
      <c r="H96" s="766"/>
      <c r="I96" s="766"/>
      <c r="J96" s="766"/>
      <c r="K96" s="767"/>
    </row>
    <row r="97" spans="1:11">
      <c r="A97" s="265"/>
      <c r="B97" s="5"/>
      <c r="C97" s="5"/>
      <c r="D97" s="300"/>
      <c r="E97" s="301"/>
      <c r="F97" s="308"/>
      <c r="G97" s="309"/>
      <c r="H97" s="5"/>
      <c r="I97" s="5"/>
      <c r="J97" s="5"/>
      <c r="K97" s="266"/>
    </row>
    <row r="98" spans="1:11">
      <c r="A98" s="789" t="s">
        <v>541</v>
      </c>
      <c r="B98" s="791" t="s">
        <v>558</v>
      </c>
      <c r="C98" s="793" t="s">
        <v>576</v>
      </c>
      <c r="D98" s="793" t="s">
        <v>544</v>
      </c>
      <c r="E98" s="795" t="s">
        <v>517</v>
      </c>
      <c r="F98" s="308"/>
      <c r="G98" s="768" t="s">
        <v>545</v>
      </c>
      <c r="H98" s="769" t="s">
        <v>542</v>
      </c>
      <c r="I98" s="770" t="s">
        <v>543</v>
      </c>
      <c r="J98" s="839" t="s">
        <v>544</v>
      </c>
      <c r="K98" s="840" t="s">
        <v>517</v>
      </c>
    </row>
    <row r="99" spans="1:11">
      <c r="A99" s="790"/>
      <c r="B99" s="792"/>
      <c r="C99" s="794"/>
      <c r="D99" s="794"/>
      <c r="E99" s="796"/>
      <c r="F99" s="308"/>
      <c r="G99" s="768"/>
      <c r="H99" s="769"/>
      <c r="I99" s="770"/>
      <c r="J99" s="839"/>
      <c r="K99" s="840"/>
    </row>
    <row r="100" spans="1:11">
      <c r="A100" s="841" t="s">
        <v>577</v>
      </c>
      <c r="B100" s="845" t="s">
        <v>578</v>
      </c>
      <c r="C100" s="805" t="s">
        <v>359</v>
      </c>
      <c r="D100" s="848">
        <f>((3*0.04167)/(E70/100*H66))</f>
        <v>8.708463949843261E-3</v>
      </c>
      <c r="E100" s="780">
        <f>H74</f>
        <v>170.67168785046726</v>
      </c>
      <c r="F100" s="308"/>
      <c r="G100" s="774" t="s">
        <v>2</v>
      </c>
      <c r="H100" s="775" t="s">
        <v>579</v>
      </c>
      <c r="I100" s="776">
        <v>8</v>
      </c>
      <c r="J100" s="778">
        <f>(I100*H102)</f>
        <v>2.573005518536477E-2</v>
      </c>
      <c r="K100" s="780">
        <f>H76</f>
        <v>160.66584392523362</v>
      </c>
    </row>
    <row r="101" spans="1:11">
      <c r="A101" s="842"/>
      <c r="B101" s="846"/>
      <c r="C101" s="847"/>
      <c r="D101" s="849"/>
      <c r="E101" s="850"/>
      <c r="F101" s="308"/>
      <c r="G101" s="774"/>
      <c r="H101" s="775"/>
      <c r="I101" s="777"/>
      <c r="J101" s="785"/>
      <c r="K101" s="781"/>
    </row>
    <row r="102" spans="1:11">
      <c r="A102" s="843"/>
      <c r="B102" s="843"/>
      <c r="C102" s="101" t="s">
        <v>358</v>
      </c>
      <c r="D102" s="321">
        <f>((2*0.04167)/(E70/100*H66))</f>
        <v>5.8056426332288398E-3</v>
      </c>
      <c r="E102" s="148"/>
      <c r="F102" s="308"/>
      <c r="G102" s="265"/>
      <c r="H102" s="336">
        <f>((1*0.041666)/(C76/100*H66))</f>
        <v>3.2162568981705963E-3</v>
      </c>
      <c r="I102" s="322" t="s">
        <v>580</v>
      </c>
      <c r="J102" s="398"/>
      <c r="K102" s="399"/>
    </row>
    <row r="103" spans="1:11">
      <c r="A103" s="844"/>
      <c r="B103" s="844"/>
      <c r="C103" s="101" t="s">
        <v>145</v>
      </c>
      <c r="D103" s="321">
        <f>((1*0.04167)/(E70/100*H66))</f>
        <v>2.9028213166144199E-3</v>
      </c>
      <c r="E103" s="148"/>
      <c r="F103" s="308"/>
      <c r="G103" s="5"/>
      <c r="H103" s="5"/>
      <c r="I103" s="5"/>
      <c r="J103" s="148"/>
      <c r="K103" s="400"/>
    </row>
    <row r="104" spans="1:11">
      <c r="A104" s="265"/>
      <c r="B104" s="5"/>
      <c r="C104" s="5"/>
      <c r="D104" s="300"/>
      <c r="E104" s="301"/>
      <c r="F104" s="308"/>
      <c r="G104" s="309"/>
      <c r="H104" s="5"/>
      <c r="I104" s="5"/>
      <c r="J104" s="148"/>
      <c r="K104" s="400"/>
    </row>
    <row r="105" spans="1:11">
      <c r="A105" s="265"/>
      <c r="B105" s="5"/>
      <c r="C105" s="5"/>
      <c r="D105" s="5"/>
      <c r="E105" s="5"/>
      <c r="F105" s="5"/>
      <c r="G105" s="851" t="s">
        <v>552</v>
      </c>
      <c r="H105" s="853" t="s">
        <v>10</v>
      </c>
      <c r="I105" s="855" t="s">
        <v>581</v>
      </c>
      <c r="J105" s="857" t="s">
        <v>582</v>
      </c>
      <c r="K105" s="859" t="s">
        <v>517</v>
      </c>
    </row>
    <row r="106" spans="1:11">
      <c r="A106" s="265"/>
      <c r="B106" s="5"/>
      <c r="C106" s="5"/>
      <c r="D106" s="5"/>
      <c r="E106" s="5"/>
      <c r="F106" s="5"/>
      <c r="G106" s="852"/>
      <c r="H106" s="854"/>
      <c r="I106" s="856"/>
      <c r="J106" s="858"/>
      <c r="K106" s="860"/>
    </row>
    <row r="107" spans="1:11">
      <c r="A107" s="265"/>
      <c r="B107" s="5"/>
      <c r="C107" s="5"/>
      <c r="D107" s="5"/>
      <c r="E107" s="5"/>
      <c r="F107" s="5"/>
      <c r="G107" s="861" t="s">
        <v>2</v>
      </c>
      <c r="H107" s="845" t="s">
        <v>583</v>
      </c>
      <c r="I107" s="816" t="s">
        <v>584</v>
      </c>
      <c r="J107" s="865">
        <f>((0.2*0.04271)/(1.1138547*H66))</f>
        <v>4.6477962493399693E-4</v>
      </c>
      <c r="K107" s="808">
        <f>H73</f>
        <v>186</v>
      </c>
    </row>
    <row r="108" spans="1:11">
      <c r="A108" s="279"/>
      <c r="B108" s="9"/>
      <c r="C108" s="9"/>
      <c r="D108" s="9"/>
      <c r="E108" s="9"/>
      <c r="F108" s="9"/>
      <c r="G108" s="862"/>
      <c r="H108" s="863"/>
      <c r="I108" s="864"/>
      <c r="J108" s="866"/>
      <c r="K108" s="809"/>
    </row>
    <row r="109" spans="1:11" ht="18.75">
      <c r="G109" s="272"/>
      <c r="H109" s="291"/>
      <c r="I109" s="323"/>
      <c r="J109" s="324"/>
      <c r="K109" s="284"/>
    </row>
    <row r="110" spans="1:11">
      <c r="A110" s="765" t="s">
        <v>585</v>
      </c>
      <c r="B110" s="766"/>
      <c r="C110" s="766"/>
      <c r="D110" s="766"/>
      <c r="E110" s="766"/>
      <c r="F110" s="766"/>
      <c r="G110" s="766"/>
      <c r="H110" s="766"/>
      <c r="I110" s="766"/>
      <c r="J110" s="766"/>
      <c r="K110" s="767"/>
    </row>
    <row r="111" spans="1:11" ht="18.75">
      <c r="A111" s="265"/>
      <c r="B111" s="5"/>
      <c r="C111" s="5"/>
      <c r="D111" s="5"/>
      <c r="E111" s="5"/>
      <c r="F111" s="5"/>
      <c r="G111" s="272"/>
      <c r="H111" s="291"/>
      <c r="I111" s="323"/>
      <c r="J111" s="324"/>
      <c r="K111" s="325"/>
    </row>
    <row r="112" spans="1:11">
      <c r="A112" s="789" t="s">
        <v>541</v>
      </c>
      <c r="B112" s="791" t="s">
        <v>556</v>
      </c>
      <c r="C112" s="793" t="s">
        <v>557</v>
      </c>
      <c r="D112" s="793" t="s">
        <v>553</v>
      </c>
      <c r="E112" s="793" t="s">
        <v>544</v>
      </c>
      <c r="F112" s="5"/>
      <c r="G112" s="851" t="s">
        <v>545</v>
      </c>
      <c r="H112" s="853" t="s">
        <v>10</v>
      </c>
      <c r="I112" s="855" t="s">
        <v>586</v>
      </c>
      <c r="J112" s="857" t="s">
        <v>587</v>
      </c>
      <c r="K112" s="859" t="s">
        <v>517</v>
      </c>
    </row>
    <row r="113" spans="1:11">
      <c r="A113" s="790"/>
      <c r="B113" s="792"/>
      <c r="C113" s="794"/>
      <c r="D113" s="794"/>
      <c r="E113" s="794"/>
      <c r="F113" s="5"/>
      <c r="G113" s="852"/>
      <c r="H113" s="854"/>
      <c r="I113" s="856"/>
      <c r="J113" s="858"/>
      <c r="K113" s="860"/>
    </row>
    <row r="114" spans="1:11">
      <c r="A114" s="797" t="s">
        <v>534</v>
      </c>
      <c r="B114" s="756" t="s">
        <v>560</v>
      </c>
      <c r="C114" s="867">
        <f>C75</f>
        <v>82</v>
      </c>
      <c r="D114" s="801">
        <v>12</v>
      </c>
      <c r="E114" s="803">
        <f>B116*D114</f>
        <v>3.6954323725055437E-2</v>
      </c>
      <c r="F114" s="5"/>
      <c r="G114" s="861" t="s">
        <v>2</v>
      </c>
      <c r="H114" s="845" t="s">
        <v>588</v>
      </c>
      <c r="I114" s="816" t="s">
        <v>127</v>
      </c>
      <c r="J114" s="868">
        <f>((0.8*0.041309)/(1.02*H66))</f>
        <v>1.9635888294711823E-3</v>
      </c>
      <c r="K114" s="808">
        <f>H73</f>
        <v>186</v>
      </c>
    </row>
    <row r="115" spans="1:11">
      <c r="A115" s="798"/>
      <c r="B115" s="757"/>
      <c r="C115" s="800"/>
      <c r="D115" s="818"/>
      <c r="E115" s="804"/>
      <c r="F115" s="5"/>
      <c r="G115" s="862"/>
      <c r="H115" s="863"/>
      <c r="I115" s="864"/>
      <c r="J115" s="869"/>
      <c r="K115" s="809"/>
    </row>
    <row r="116" spans="1:11" ht="19.5">
      <c r="A116" s="267"/>
      <c r="B116" s="268">
        <f>((1*0.041666)/(C75/100*H66))</f>
        <v>3.079526977087953E-3</v>
      </c>
      <c r="C116" s="269" t="s">
        <v>551</v>
      </c>
      <c r="D116" s="326" t="s">
        <v>589</v>
      </c>
      <c r="E116" s="386">
        <f>H75</f>
        <v>164.77618317757009</v>
      </c>
      <c r="F116" s="5"/>
      <c r="G116" s="272"/>
      <c r="H116" s="291"/>
      <c r="I116" s="323"/>
      <c r="J116" s="324"/>
      <c r="K116" s="325"/>
    </row>
    <row r="117" spans="1:11" ht="18.75">
      <c r="A117" s="265"/>
      <c r="B117" s="5"/>
      <c r="C117" s="5"/>
      <c r="D117" s="5"/>
      <c r="E117" s="148"/>
      <c r="F117" s="5"/>
      <c r="G117" s="272"/>
      <c r="H117" s="291"/>
      <c r="I117" s="323"/>
      <c r="J117" s="324"/>
      <c r="K117" s="325"/>
    </row>
    <row r="118" spans="1:11" ht="18.75">
      <c r="A118" s="768" t="s">
        <v>590</v>
      </c>
      <c r="B118" s="769" t="s">
        <v>542</v>
      </c>
      <c r="C118" s="770" t="s">
        <v>543</v>
      </c>
      <c r="D118" s="870" t="s">
        <v>544</v>
      </c>
      <c r="E118" s="840" t="s">
        <v>517</v>
      </c>
      <c r="F118" s="263"/>
      <c r="G118" s="277"/>
      <c r="H118" s="327"/>
      <c r="I118" s="328"/>
      <c r="J118" s="329"/>
      <c r="K118" s="266"/>
    </row>
    <row r="119" spans="1:11" ht="18.75">
      <c r="A119" s="768"/>
      <c r="B119" s="769"/>
      <c r="C119" s="770"/>
      <c r="D119" s="870"/>
      <c r="E119" s="840"/>
      <c r="F119" s="258"/>
      <c r="G119" s="277"/>
      <c r="H119" s="327"/>
      <c r="I119" s="328"/>
      <c r="J119" s="329"/>
      <c r="K119" s="266"/>
    </row>
    <row r="120" spans="1:11" ht="19.5">
      <c r="A120" s="774" t="s">
        <v>2</v>
      </c>
      <c r="B120" s="775" t="s">
        <v>591</v>
      </c>
      <c r="C120" s="776">
        <v>7</v>
      </c>
      <c r="D120" s="871">
        <f>(C120*B122)</f>
        <v>2.2513798287194173E-2</v>
      </c>
      <c r="E120" s="780">
        <f>H76</f>
        <v>160.66584392523362</v>
      </c>
      <c r="F120" s="258"/>
      <c r="G120" s="330"/>
      <c r="H120" s="331"/>
      <c r="I120" s="332"/>
      <c r="J120" s="333"/>
      <c r="K120" s="266"/>
    </row>
    <row r="121" spans="1:11" ht="19.5">
      <c r="A121" s="774"/>
      <c r="B121" s="775"/>
      <c r="C121" s="777"/>
      <c r="D121" s="872"/>
      <c r="E121" s="781"/>
      <c r="F121" s="258"/>
      <c r="G121" s="330"/>
      <c r="H121" s="331"/>
      <c r="I121" s="334"/>
      <c r="J121" s="335"/>
      <c r="K121" s="266"/>
    </row>
    <row r="122" spans="1:11">
      <c r="A122" s="265"/>
      <c r="B122" s="336">
        <f>((1*0.041666)/(C76/100*H66))</f>
        <v>3.2162568981705963E-3</v>
      </c>
      <c r="C122" s="322" t="s">
        <v>580</v>
      </c>
      <c r="D122" s="300"/>
      <c r="E122" s="301"/>
      <c r="F122" s="5"/>
      <c r="G122" s="5"/>
      <c r="H122" s="5"/>
      <c r="I122" s="5"/>
      <c r="J122" s="5"/>
      <c r="K122" s="266"/>
    </row>
    <row r="123" spans="1:11">
      <c r="A123" s="265"/>
      <c r="B123" s="5"/>
      <c r="C123" s="5"/>
      <c r="D123" s="5"/>
      <c r="E123" s="5"/>
      <c r="F123" s="5"/>
      <c r="G123" s="5"/>
      <c r="H123" s="5"/>
      <c r="I123" s="5"/>
      <c r="J123" s="5"/>
      <c r="K123" s="266"/>
    </row>
    <row r="124" spans="1:11" ht="18.75">
      <c r="A124" s="265"/>
      <c r="B124" s="789" t="s">
        <v>563</v>
      </c>
      <c r="C124" s="810" t="s">
        <v>592</v>
      </c>
      <c r="D124" s="811"/>
      <c r="E124" s="812"/>
      <c r="F124" s="5"/>
      <c r="G124" s="245"/>
      <c r="H124" s="291"/>
      <c r="I124" s="323"/>
      <c r="J124" s="337"/>
      <c r="K124" s="338"/>
    </row>
    <row r="125" spans="1:11">
      <c r="A125" s="279"/>
      <c r="B125" s="790"/>
      <c r="C125" s="813"/>
      <c r="D125" s="814"/>
      <c r="E125" s="815"/>
      <c r="F125" s="9"/>
      <c r="G125" s="9"/>
      <c r="H125" s="9"/>
      <c r="I125" s="9"/>
      <c r="J125" s="9"/>
      <c r="K125" s="280"/>
    </row>
    <row r="126" spans="1:11">
      <c r="A126" s="640" t="s">
        <v>593</v>
      </c>
      <c r="B126" s="640"/>
      <c r="C126" s="640"/>
      <c r="D126" s="640"/>
      <c r="E126" s="640"/>
      <c r="F126" s="640"/>
      <c r="G126" s="640"/>
      <c r="H126" s="640"/>
      <c r="I126" s="640"/>
      <c r="J126" s="640"/>
      <c r="K126" s="640"/>
    </row>
    <row r="127" spans="1:11">
      <c r="A127" s="739" t="s">
        <v>1114</v>
      </c>
      <c r="B127" s="739"/>
      <c r="C127" s="739"/>
      <c r="D127" s="739"/>
      <c r="E127" s="739"/>
      <c r="F127" s="739"/>
      <c r="G127" s="739"/>
      <c r="H127" s="739"/>
      <c r="I127" s="739"/>
      <c r="J127" s="739"/>
      <c r="K127" s="739"/>
    </row>
  </sheetData>
  <sheetProtection password="8026" sheet="1" objects="1" scenarios="1"/>
  <mergeCells count="234">
    <mergeCell ref="E120:E121"/>
    <mergeCell ref="B124:B125"/>
    <mergeCell ref="C124:E125"/>
    <mergeCell ref="A126:K126"/>
    <mergeCell ref="A120:A121"/>
    <mergeCell ref="B120:B121"/>
    <mergeCell ref="C120:C121"/>
    <mergeCell ref="D120:D121"/>
    <mergeCell ref="H114:H115"/>
    <mergeCell ref="I114:I115"/>
    <mergeCell ref="J114:J115"/>
    <mergeCell ref="K114:K115"/>
    <mergeCell ref="A118:A119"/>
    <mergeCell ref="B118:B119"/>
    <mergeCell ref="C118:C119"/>
    <mergeCell ref="D118:D119"/>
    <mergeCell ref="E118:E119"/>
    <mergeCell ref="H112:H113"/>
    <mergeCell ref="I112:I113"/>
    <mergeCell ref="J112:J113"/>
    <mergeCell ref="K112:K113"/>
    <mergeCell ref="A114:A115"/>
    <mergeCell ref="B114:B115"/>
    <mergeCell ref="C114:C115"/>
    <mergeCell ref="D114:D115"/>
    <mergeCell ref="E114:E115"/>
    <mergeCell ref="G114:G115"/>
    <mergeCell ref="A112:A113"/>
    <mergeCell ref="B112:B113"/>
    <mergeCell ref="C112:C113"/>
    <mergeCell ref="D112:D113"/>
    <mergeCell ref="E112:E113"/>
    <mergeCell ref="G112:G113"/>
    <mergeCell ref="G107:G108"/>
    <mergeCell ref="H107:H108"/>
    <mergeCell ref="I107:I108"/>
    <mergeCell ref="J107:J108"/>
    <mergeCell ref="K107:K108"/>
    <mergeCell ref="A110:K110"/>
    <mergeCell ref="I100:I101"/>
    <mergeCell ref="J100:J101"/>
    <mergeCell ref="K100:K101"/>
    <mergeCell ref="G105:G106"/>
    <mergeCell ref="H105:H106"/>
    <mergeCell ref="I105:I106"/>
    <mergeCell ref="J105:J106"/>
    <mergeCell ref="K105:K106"/>
    <mergeCell ref="I98:I99"/>
    <mergeCell ref="J98:J99"/>
    <mergeCell ref="K98:K99"/>
    <mergeCell ref="A100:A103"/>
    <mergeCell ref="B100:B103"/>
    <mergeCell ref="C100:C101"/>
    <mergeCell ref="D100:D101"/>
    <mergeCell ref="E100:E101"/>
    <mergeCell ref="G100:G101"/>
    <mergeCell ref="H100:H101"/>
    <mergeCell ref="F78:G78"/>
    <mergeCell ref="F79:G79"/>
    <mergeCell ref="A96:K96"/>
    <mergeCell ref="A98:A99"/>
    <mergeCell ref="B98:B99"/>
    <mergeCell ref="C98:C99"/>
    <mergeCell ref="D98:D99"/>
    <mergeCell ref="E98:E99"/>
    <mergeCell ref="G98:G99"/>
    <mergeCell ref="H98:H99"/>
    <mergeCell ref="F74:G74"/>
    <mergeCell ref="H74:I74"/>
    <mergeCell ref="F75:G75"/>
    <mergeCell ref="H75:I75"/>
    <mergeCell ref="H76:I76"/>
    <mergeCell ref="F77:G77"/>
    <mergeCell ref="H77:I77"/>
    <mergeCell ref="C66:D66"/>
    <mergeCell ref="C70:D70"/>
    <mergeCell ref="F72:G72"/>
    <mergeCell ref="H72:I72"/>
    <mergeCell ref="F73:G73"/>
    <mergeCell ref="H73:I73"/>
    <mergeCell ref="H60:K61"/>
    <mergeCell ref="A62:A63"/>
    <mergeCell ref="B62:B63"/>
    <mergeCell ref="C62:C63"/>
    <mergeCell ref="D62:D63"/>
    <mergeCell ref="E62:E63"/>
    <mergeCell ref="G62:G63"/>
    <mergeCell ref="H62:K63"/>
    <mergeCell ref="H56:H57"/>
    <mergeCell ref="I56:I57"/>
    <mergeCell ref="J56:J57"/>
    <mergeCell ref="K56:K57"/>
    <mergeCell ref="A60:A61"/>
    <mergeCell ref="B60:B61"/>
    <mergeCell ref="C60:C61"/>
    <mergeCell ref="D60:D61"/>
    <mergeCell ref="E60:E61"/>
    <mergeCell ref="G60:G61"/>
    <mergeCell ref="H54:H55"/>
    <mergeCell ref="I54:I55"/>
    <mergeCell ref="J54:J55"/>
    <mergeCell ref="K54:K55"/>
    <mergeCell ref="A56:A57"/>
    <mergeCell ref="B56:B57"/>
    <mergeCell ref="C56:C57"/>
    <mergeCell ref="D56:D57"/>
    <mergeCell ref="E56:E57"/>
    <mergeCell ref="G56:G57"/>
    <mergeCell ref="A54:A55"/>
    <mergeCell ref="B54:B55"/>
    <mergeCell ref="C54:C55"/>
    <mergeCell ref="D54:D55"/>
    <mergeCell ref="E54:E55"/>
    <mergeCell ref="G54:G55"/>
    <mergeCell ref="A47:A48"/>
    <mergeCell ref="B47:B48"/>
    <mergeCell ref="C47:C48"/>
    <mergeCell ref="D47:D48"/>
    <mergeCell ref="E47:E48"/>
    <mergeCell ref="A52:K52"/>
    <mergeCell ref="I41:I42"/>
    <mergeCell ref="J41:J42"/>
    <mergeCell ref="K41:K42"/>
    <mergeCell ref="A45:A46"/>
    <mergeCell ref="B45:B46"/>
    <mergeCell ref="C45:C46"/>
    <mergeCell ref="D45:D46"/>
    <mergeCell ref="E45:E46"/>
    <mergeCell ref="I39:I40"/>
    <mergeCell ref="J39:J40"/>
    <mergeCell ref="K39:K40"/>
    <mergeCell ref="A41:A42"/>
    <mergeCell ref="B41:B42"/>
    <mergeCell ref="C41:C42"/>
    <mergeCell ref="D41:D42"/>
    <mergeCell ref="E41:E42"/>
    <mergeCell ref="G41:G42"/>
    <mergeCell ref="H41:H42"/>
    <mergeCell ref="A34:K34"/>
    <mergeCell ref="A35:K35"/>
    <mergeCell ref="A37:K37"/>
    <mergeCell ref="A39:A40"/>
    <mergeCell ref="B39:B40"/>
    <mergeCell ref="C39:C40"/>
    <mergeCell ref="D39:D40"/>
    <mergeCell ref="E39:E40"/>
    <mergeCell ref="G39:G40"/>
    <mergeCell ref="H39:H40"/>
    <mergeCell ref="J22:J23"/>
    <mergeCell ref="K22:K23"/>
    <mergeCell ref="A23:A24"/>
    <mergeCell ref="B23:B24"/>
    <mergeCell ref="C23:C24"/>
    <mergeCell ref="D23:D24"/>
    <mergeCell ref="A19:A20"/>
    <mergeCell ref="B19:B20"/>
    <mergeCell ref="C19:C20"/>
    <mergeCell ref="D19:D20"/>
    <mergeCell ref="H20:H21"/>
    <mergeCell ref="I20:I21"/>
    <mergeCell ref="A21:A22"/>
    <mergeCell ref="B21:B22"/>
    <mergeCell ref="C21:C22"/>
    <mergeCell ref="D21:D22"/>
    <mergeCell ref="G22:G23"/>
    <mergeCell ref="E23:E24"/>
    <mergeCell ref="H18:H19"/>
    <mergeCell ref="I18:I19"/>
    <mergeCell ref="J18:J19"/>
    <mergeCell ref="K18:K19"/>
    <mergeCell ref="J20:J21"/>
    <mergeCell ref="K20:K21"/>
    <mergeCell ref="H22:H23"/>
    <mergeCell ref="I22:I23"/>
    <mergeCell ref="K16:K17"/>
    <mergeCell ref="A17:A18"/>
    <mergeCell ref="B17:B18"/>
    <mergeCell ref="C17:C18"/>
    <mergeCell ref="D17:D18"/>
    <mergeCell ref="E17:E18"/>
    <mergeCell ref="G18:G19"/>
    <mergeCell ref="E19:E20"/>
    <mergeCell ref="G20:G21"/>
    <mergeCell ref="E21:E22"/>
    <mergeCell ref="G12:G13"/>
    <mergeCell ref="H12:H13"/>
    <mergeCell ref="I12:I13"/>
    <mergeCell ref="J12:J13"/>
    <mergeCell ref="K12:K13"/>
    <mergeCell ref="A15:E16"/>
    <mergeCell ref="G16:G17"/>
    <mergeCell ref="H16:H17"/>
    <mergeCell ref="I16:I17"/>
    <mergeCell ref="J16:J17"/>
    <mergeCell ref="G10:G11"/>
    <mergeCell ref="H10:H11"/>
    <mergeCell ref="I10:I11"/>
    <mergeCell ref="J10:J11"/>
    <mergeCell ref="K10:K11"/>
    <mergeCell ref="A12:A13"/>
    <mergeCell ref="B12:B13"/>
    <mergeCell ref="C12:C13"/>
    <mergeCell ref="D12:D13"/>
    <mergeCell ref="E12:E13"/>
    <mergeCell ref="G8:G9"/>
    <mergeCell ref="H8:H9"/>
    <mergeCell ref="I8:I9"/>
    <mergeCell ref="J8:J9"/>
    <mergeCell ref="K8:K9"/>
    <mergeCell ref="A10:A11"/>
    <mergeCell ref="B10:B11"/>
    <mergeCell ref="C10:C11"/>
    <mergeCell ref="D10:D11"/>
    <mergeCell ref="E10:E11"/>
    <mergeCell ref="G6:G7"/>
    <mergeCell ref="H6:H7"/>
    <mergeCell ref="I6:I7"/>
    <mergeCell ref="J6:J7"/>
    <mergeCell ref="K6:K7"/>
    <mergeCell ref="A8:A9"/>
    <mergeCell ref="B8:B9"/>
    <mergeCell ref="C8:C9"/>
    <mergeCell ref="D8:D9"/>
    <mergeCell ref="E8:E9"/>
    <mergeCell ref="A127:K127"/>
    <mergeCell ref="A1:K1"/>
    <mergeCell ref="A2:K2"/>
    <mergeCell ref="A4:E5"/>
    <mergeCell ref="G4:K5"/>
    <mergeCell ref="A6:A7"/>
    <mergeCell ref="B6:B7"/>
    <mergeCell ref="C6:C7"/>
    <mergeCell ref="D6:D7"/>
    <mergeCell ref="E6:E7"/>
  </mergeCells>
  <phoneticPr fontId="0" type="noConversion"/>
  <hyperlinks>
    <hyperlink ref="A127:K127" location="ENTRAINEMENT!A1" display="Retour page ENTRAINEMENT"/>
  </hyperlinks>
  <pageMargins left="0.78740157499999996" right="0.78740157499999996" top="0.984251969" bottom="0.984251969" header="0.4921259845" footer="0.4921259845"/>
  <pageSetup paperSize="9" scale="90" orientation="landscape" horizontalDpi="4294967294" verticalDpi="0" r:id="rId1"/>
  <headerFooter alignWithMargins="0"/>
  <drawing r:id="rId2"/>
</worksheet>
</file>

<file path=xl/worksheets/sheet13.xml><?xml version="1.0" encoding="utf-8"?>
<worksheet xmlns="http://schemas.openxmlformats.org/spreadsheetml/2006/main" xmlns:r="http://schemas.openxmlformats.org/officeDocument/2006/relationships">
  <sheetPr codeName="Feuil13"/>
  <dimension ref="A1:N119"/>
  <sheetViews>
    <sheetView zoomScale="75" workbookViewId="0">
      <selection activeCell="A119" sqref="A119:K119"/>
    </sheetView>
  </sheetViews>
  <sheetFormatPr baseColWidth="10" defaultRowHeight="15.75"/>
  <cols>
    <col min="1" max="1" width="9" customWidth="1"/>
    <col min="2" max="2" width="13.75" customWidth="1"/>
    <col min="4" max="4" width="13.125" customWidth="1"/>
    <col min="5" max="5" width="11.75" customWidth="1"/>
    <col min="6" max="6" width="13" customWidth="1"/>
    <col min="10" max="10" width="11.875" customWidth="1"/>
    <col min="11" max="11" width="11.625" customWidth="1"/>
  </cols>
  <sheetData>
    <row r="1" spans="1:11" ht="18.75">
      <c r="A1" s="740" t="s">
        <v>523</v>
      </c>
      <c r="B1" s="741"/>
      <c r="C1" s="741"/>
      <c r="D1" s="741"/>
      <c r="E1" s="741"/>
      <c r="F1" s="741"/>
      <c r="G1" s="741"/>
      <c r="H1" s="741"/>
      <c r="I1" s="741"/>
      <c r="J1" s="741"/>
      <c r="K1" s="742"/>
    </row>
    <row r="2" spans="1:11" ht="18.75">
      <c r="A2" s="743" t="s">
        <v>594</v>
      </c>
      <c r="B2" s="744"/>
      <c r="C2" s="744"/>
      <c r="D2" s="744"/>
      <c r="E2" s="744"/>
      <c r="F2" s="744"/>
      <c r="G2" s="744"/>
      <c r="H2" s="744"/>
      <c r="I2" s="744"/>
      <c r="J2" s="744"/>
      <c r="K2" s="745"/>
    </row>
    <row r="4" spans="1:11">
      <c r="A4" s="746" t="s">
        <v>525</v>
      </c>
      <c r="B4" s="747"/>
      <c r="C4" s="747"/>
      <c r="D4" s="747"/>
      <c r="E4" s="748"/>
      <c r="G4" s="746" t="s">
        <v>526</v>
      </c>
      <c r="H4" s="747"/>
      <c r="I4" s="747"/>
      <c r="J4" s="747"/>
      <c r="K4" s="748"/>
    </row>
    <row r="5" spans="1:11">
      <c r="A5" s="749"/>
      <c r="B5" s="750"/>
      <c r="C5" s="750"/>
      <c r="D5" s="750"/>
      <c r="E5" s="751"/>
      <c r="G5" s="749"/>
      <c r="H5" s="750"/>
      <c r="I5" s="750"/>
      <c r="J5" s="750"/>
      <c r="K5" s="751"/>
    </row>
    <row r="6" spans="1:11" ht="15.75" customHeight="1">
      <c r="A6" s="752" t="s">
        <v>527</v>
      </c>
      <c r="B6" s="752" t="s">
        <v>505</v>
      </c>
      <c r="C6" s="752" t="s">
        <v>528</v>
      </c>
      <c r="D6" s="752" t="s">
        <v>529</v>
      </c>
      <c r="E6" s="752" t="s">
        <v>530</v>
      </c>
      <c r="G6" s="752" t="s">
        <v>531</v>
      </c>
      <c r="H6" s="752" t="s">
        <v>505</v>
      </c>
      <c r="I6" s="752" t="s">
        <v>528</v>
      </c>
      <c r="J6" s="752" t="s">
        <v>529</v>
      </c>
      <c r="K6" s="752" t="s">
        <v>530</v>
      </c>
    </row>
    <row r="7" spans="1:11" ht="0.75" customHeight="1">
      <c r="A7" s="753"/>
      <c r="B7" s="753"/>
      <c r="C7" s="753"/>
      <c r="D7" s="753"/>
      <c r="E7" s="753"/>
      <c r="G7" s="753"/>
      <c r="H7" s="753"/>
      <c r="I7" s="753"/>
      <c r="J7" s="753"/>
      <c r="K7" s="753"/>
    </row>
    <row r="8" spans="1:11">
      <c r="A8" s="754" t="s">
        <v>532</v>
      </c>
      <c r="B8" s="756" t="s">
        <v>28</v>
      </c>
      <c r="C8" s="756" t="s">
        <v>33</v>
      </c>
      <c r="D8" s="756" t="s">
        <v>33</v>
      </c>
      <c r="E8" s="756" t="s">
        <v>33</v>
      </c>
      <c r="G8" s="754" t="s">
        <v>532</v>
      </c>
      <c r="H8" s="756" t="s">
        <v>33</v>
      </c>
      <c r="I8" s="756" t="s">
        <v>33</v>
      </c>
      <c r="J8" s="756" t="s">
        <v>33</v>
      </c>
      <c r="K8" s="756" t="s">
        <v>33</v>
      </c>
    </row>
    <row r="9" spans="1:11">
      <c r="A9" s="755"/>
      <c r="B9" s="757"/>
      <c r="C9" s="757"/>
      <c r="D9" s="757"/>
      <c r="E9" s="757"/>
      <c r="G9" s="755"/>
      <c r="H9" s="757"/>
      <c r="I9" s="757"/>
      <c r="J9" s="757"/>
      <c r="K9" s="757"/>
    </row>
    <row r="10" spans="1:11">
      <c r="A10" s="754" t="s">
        <v>533</v>
      </c>
      <c r="B10" s="756" t="s">
        <v>33</v>
      </c>
      <c r="C10" s="756" t="s">
        <v>28</v>
      </c>
      <c r="D10" s="756" t="s">
        <v>28</v>
      </c>
      <c r="E10" s="756" t="s">
        <v>10</v>
      </c>
      <c r="G10" s="754" t="s">
        <v>533</v>
      </c>
      <c r="H10" s="756" t="s">
        <v>10</v>
      </c>
      <c r="I10" s="756" t="s">
        <v>10</v>
      </c>
      <c r="J10" s="756" t="s">
        <v>10</v>
      </c>
      <c r="K10" s="756" t="s">
        <v>10</v>
      </c>
    </row>
    <row r="11" spans="1:11">
      <c r="A11" s="755"/>
      <c r="B11" s="757"/>
      <c r="C11" s="757"/>
      <c r="D11" s="757"/>
      <c r="E11" s="757"/>
      <c r="G11" s="755"/>
      <c r="H11" s="757"/>
      <c r="I11" s="757"/>
      <c r="J11" s="757"/>
      <c r="K11" s="757"/>
    </row>
    <row r="12" spans="1:11">
      <c r="A12" s="754" t="s">
        <v>535</v>
      </c>
      <c r="B12" s="756" t="s">
        <v>28</v>
      </c>
      <c r="C12" s="756" t="s">
        <v>534</v>
      </c>
      <c r="D12" s="756" t="s">
        <v>33</v>
      </c>
      <c r="E12" s="756" t="s">
        <v>33</v>
      </c>
      <c r="G12" s="754" t="s">
        <v>535</v>
      </c>
      <c r="H12" s="756" t="s">
        <v>33</v>
      </c>
      <c r="I12" s="756" t="s">
        <v>33</v>
      </c>
      <c r="J12" s="756" t="s">
        <v>33</v>
      </c>
      <c r="K12" s="756" t="s">
        <v>33</v>
      </c>
    </row>
    <row r="13" spans="1:11">
      <c r="A13" s="755"/>
      <c r="B13" s="757"/>
      <c r="C13" s="757"/>
      <c r="D13" s="757"/>
      <c r="E13" s="757"/>
      <c r="G13" s="755"/>
      <c r="H13" s="757"/>
      <c r="I13" s="757"/>
      <c r="J13" s="757"/>
      <c r="K13" s="757"/>
    </row>
    <row r="14" spans="1:11">
      <c r="A14" s="754" t="s">
        <v>595</v>
      </c>
      <c r="B14" s="756" t="s">
        <v>534</v>
      </c>
      <c r="C14" s="756" t="s">
        <v>28</v>
      </c>
      <c r="D14" s="756" t="s">
        <v>10</v>
      </c>
      <c r="E14" s="756" t="s">
        <v>28</v>
      </c>
      <c r="G14" s="754" t="s">
        <v>595</v>
      </c>
      <c r="H14" s="756" t="s">
        <v>534</v>
      </c>
      <c r="I14" s="756" t="s">
        <v>534</v>
      </c>
      <c r="J14" s="756" t="s">
        <v>10</v>
      </c>
      <c r="K14" s="756" t="s">
        <v>10</v>
      </c>
    </row>
    <row r="15" spans="1:11">
      <c r="A15" s="755"/>
      <c r="B15" s="757"/>
      <c r="C15" s="757"/>
      <c r="D15" s="757"/>
      <c r="E15" s="757"/>
      <c r="G15" s="755"/>
      <c r="H15" s="757"/>
      <c r="I15" s="757"/>
      <c r="J15" s="757"/>
      <c r="K15" s="757"/>
    </row>
    <row r="16" spans="1:11">
      <c r="G16" s="260"/>
      <c r="H16" s="261"/>
      <c r="I16" s="261"/>
      <c r="J16" s="261"/>
      <c r="K16" s="262"/>
    </row>
    <row r="17" spans="1:11">
      <c r="A17" s="746" t="s">
        <v>536</v>
      </c>
      <c r="B17" s="747"/>
      <c r="C17" s="747"/>
      <c r="D17" s="747"/>
      <c r="E17" s="748"/>
      <c r="G17" s="758" t="s">
        <v>537</v>
      </c>
      <c r="H17" s="758" t="s">
        <v>505</v>
      </c>
      <c r="I17" s="758" t="s">
        <v>528</v>
      </c>
      <c r="J17" s="758" t="s">
        <v>529</v>
      </c>
      <c r="K17" s="758" t="s">
        <v>530</v>
      </c>
    </row>
    <row r="18" spans="1:11">
      <c r="A18" s="749"/>
      <c r="B18" s="750"/>
      <c r="C18" s="750"/>
      <c r="D18" s="750"/>
      <c r="E18" s="751"/>
      <c r="G18" s="759"/>
      <c r="H18" s="759"/>
      <c r="I18" s="759"/>
      <c r="J18" s="759"/>
      <c r="K18" s="759"/>
    </row>
    <row r="19" spans="1:11">
      <c r="A19" s="758" t="s">
        <v>531</v>
      </c>
      <c r="B19" s="758" t="s">
        <v>538</v>
      </c>
      <c r="C19" s="758" t="s">
        <v>528</v>
      </c>
      <c r="D19" s="758" t="s">
        <v>529</v>
      </c>
      <c r="E19" s="758" t="s">
        <v>530</v>
      </c>
      <c r="G19" s="754" t="s">
        <v>532</v>
      </c>
      <c r="H19" s="756" t="s">
        <v>33</v>
      </c>
      <c r="I19" s="756" t="s">
        <v>33</v>
      </c>
      <c r="J19" s="756" t="s">
        <v>33</v>
      </c>
      <c r="K19" s="756" t="s">
        <v>33</v>
      </c>
    </row>
    <row r="20" spans="1:11">
      <c r="A20" s="759"/>
      <c r="B20" s="759"/>
      <c r="C20" s="759"/>
      <c r="D20" s="759"/>
      <c r="E20" s="759"/>
      <c r="G20" s="755"/>
      <c r="H20" s="757"/>
      <c r="I20" s="757"/>
      <c r="J20" s="757"/>
      <c r="K20" s="757"/>
    </row>
    <row r="21" spans="1:11">
      <c r="A21" s="754" t="s">
        <v>532</v>
      </c>
      <c r="B21" s="756" t="s">
        <v>26</v>
      </c>
      <c r="C21" s="756" t="s">
        <v>26</v>
      </c>
      <c r="D21" s="756" t="s">
        <v>26</v>
      </c>
      <c r="E21" s="756" t="s">
        <v>26</v>
      </c>
      <c r="G21" s="754" t="s">
        <v>533</v>
      </c>
      <c r="H21" s="756" t="s">
        <v>10</v>
      </c>
      <c r="I21" s="756" t="s">
        <v>10</v>
      </c>
      <c r="J21" s="756" t="s">
        <v>10</v>
      </c>
      <c r="K21" s="756" t="s">
        <v>26</v>
      </c>
    </row>
    <row r="22" spans="1:11">
      <c r="A22" s="755"/>
      <c r="B22" s="757"/>
      <c r="C22" s="757"/>
      <c r="D22" s="757"/>
      <c r="E22" s="757"/>
      <c r="G22" s="755"/>
      <c r="H22" s="757"/>
      <c r="I22" s="757"/>
      <c r="J22" s="757"/>
      <c r="K22" s="757"/>
    </row>
    <row r="23" spans="1:11">
      <c r="A23" s="754" t="s">
        <v>533</v>
      </c>
      <c r="B23" s="756" t="s">
        <v>33</v>
      </c>
      <c r="C23" s="756" t="s">
        <v>33</v>
      </c>
      <c r="D23" s="756" t="s">
        <v>33</v>
      </c>
      <c r="E23" s="756" t="s">
        <v>534</v>
      </c>
      <c r="G23" s="754" t="s">
        <v>535</v>
      </c>
      <c r="H23" s="756" t="s">
        <v>534</v>
      </c>
      <c r="I23" s="756" t="s">
        <v>534</v>
      </c>
      <c r="J23" s="756" t="s">
        <v>534</v>
      </c>
      <c r="K23" s="756" t="s">
        <v>534</v>
      </c>
    </row>
    <row r="24" spans="1:11">
      <c r="A24" s="755"/>
      <c r="B24" s="757"/>
      <c r="C24" s="757"/>
      <c r="D24" s="757"/>
      <c r="E24" s="757"/>
      <c r="G24" s="755"/>
      <c r="H24" s="760"/>
      <c r="I24" s="760"/>
      <c r="J24" s="760"/>
      <c r="K24" s="760"/>
    </row>
    <row r="25" spans="1:11">
      <c r="A25" s="754" t="s">
        <v>535</v>
      </c>
      <c r="B25" s="756" t="s">
        <v>26</v>
      </c>
      <c r="C25" s="756" t="s">
        <v>534</v>
      </c>
      <c r="D25" s="756" t="s">
        <v>26</v>
      </c>
      <c r="E25" s="756" t="s">
        <v>33</v>
      </c>
      <c r="G25" s="754" t="s">
        <v>595</v>
      </c>
      <c r="H25" s="756" t="s">
        <v>10</v>
      </c>
      <c r="I25" s="756" t="s">
        <v>26</v>
      </c>
      <c r="J25" s="756" t="s">
        <v>26</v>
      </c>
      <c r="K25" s="756" t="s">
        <v>33</v>
      </c>
    </row>
    <row r="26" spans="1:11">
      <c r="A26" s="755"/>
      <c r="B26" s="757"/>
      <c r="C26" s="757"/>
      <c r="D26" s="757"/>
      <c r="E26" s="757"/>
      <c r="G26" s="755"/>
      <c r="H26" s="757"/>
      <c r="I26" s="757"/>
      <c r="J26" s="757"/>
      <c r="K26" s="757"/>
    </row>
    <row r="27" spans="1:11">
      <c r="A27" s="754" t="s">
        <v>595</v>
      </c>
      <c r="B27" s="756" t="s">
        <v>10</v>
      </c>
      <c r="C27" s="756" t="s">
        <v>26</v>
      </c>
      <c r="D27" s="756" t="s">
        <v>10</v>
      </c>
      <c r="E27" s="756" t="s">
        <v>26</v>
      </c>
      <c r="G27" s="264"/>
    </row>
    <row r="28" spans="1:11">
      <c r="A28" s="755"/>
      <c r="B28" s="757"/>
      <c r="C28" s="757"/>
      <c r="D28" s="757"/>
      <c r="E28" s="757"/>
      <c r="G28" s="264"/>
    </row>
    <row r="29" spans="1:11">
      <c r="A29" s="258"/>
    </row>
    <row r="30" spans="1:11">
      <c r="A30" s="258"/>
    </row>
    <row r="31" spans="1:11">
      <c r="A31" s="258"/>
    </row>
    <row r="32" spans="1:11">
      <c r="A32" s="258"/>
    </row>
    <row r="33" spans="1:11">
      <c r="A33" s="258"/>
    </row>
    <row r="34" spans="1:11">
      <c r="A34" s="761" t="s">
        <v>539</v>
      </c>
      <c r="B34" s="762"/>
      <c r="C34" s="762"/>
      <c r="D34" s="762"/>
      <c r="E34" s="762"/>
      <c r="F34" s="762"/>
      <c r="G34" s="762"/>
      <c r="H34" s="762"/>
      <c r="I34" s="762"/>
      <c r="J34" s="762"/>
      <c r="K34" s="763"/>
    </row>
    <row r="35" spans="1:11">
      <c r="A35" s="764" t="s">
        <v>596</v>
      </c>
      <c r="B35" s="764"/>
      <c r="C35" s="764"/>
      <c r="D35" s="764"/>
      <c r="E35" s="764"/>
      <c r="F35" s="764"/>
      <c r="G35" s="764"/>
      <c r="H35" s="764"/>
      <c r="I35" s="764"/>
      <c r="J35" s="764"/>
      <c r="K35" s="764"/>
    </row>
    <row r="36" spans="1:11">
      <c r="A36" s="765" t="s">
        <v>505</v>
      </c>
      <c r="B36" s="766"/>
      <c r="C36" s="766"/>
      <c r="D36" s="766"/>
      <c r="E36" s="766"/>
      <c r="F36" s="766"/>
      <c r="G36" s="766"/>
      <c r="H36" s="766"/>
      <c r="I36" s="766"/>
      <c r="J36" s="766"/>
      <c r="K36" s="767"/>
    </row>
    <row r="37" spans="1:11">
      <c r="A37" s="265"/>
      <c r="B37" s="5"/>
      <c r="C37" s="5"/>
      <c r="D37" s="5"/>
      <c r="E37" s="5"/>
      <c r="F37" s="5"/>
      <c r="G37" s="5"/>
      <c r="H37" s="5"/>
      <c r="I37" s="5"/>
      <c r="J37" s="5"/>
      <c r="K37" s="266"/>
    </row>
    <row r="38" spans="1:11">
      <c r="A38" s="768" t="s">
        <v>541</v>
      </c>
      <c r="B38" s="769" t="s">
        <v>542</v>
      </c>
      <c r="C38" s="770" t="s">
        <v>543</v>
      </c>
      <c r="D38" s="770" t="s">
        <v>544</v>
      </c>
      <c r="E38" s="771" t="s">
        <v>517</v>
      </c>
      <c r="F38" s="5"/>
      <c r="G38" s="768" t="s">
        <v>545</v>
      </c>
      <c r="H38" s="769" t="s">
        <v>558</v>
      </c>
      <c r="I38" s="770" t="s">
        <v>559</v>
      </c>
      <c r="J38" s="770" t="s">
        <v>544</v>
      </c>
      <c r="K38" s="771" t="s">
        <v>517</v>
      </c>
    </row>
    <row r="39" spans="1:11">
      <c r="A39" s="768"/>
      <c r="B39" s="769"/>
      <c r="C39" s="770"/>
      <c r="D39" s="770"/>
      <c r="E39" s="771"/>
      <c r="F39" s="5"/>
      <c r="G39" s="768"/>
      <c r="H39" s="769"/>
      <c r="I39" s="770"/>
      <c r="J39" s="770"/>
      <c r="K39" s="771"/>
    </row>
    <row r="40" spans="1:11" ht="15.75" customHeight="1">
      <c r="A40" s="774" t="s">
        <v>2</v>
      </c>
      <c r="B40" s="775" t="s">
        <v>548</v>
      </c>
      <c r="C40" s="776">
        <v>6</v>
      </c>
      <c r="D40" s="778">
        <f>(C40*Programme!F51)</f>
        <v>1.7853731489585155E-2</v>
      </c>
      <c r="E40" s="780">
        <f>Programme!C48</f>
        <v>163.30779906542057</v>
      </c>
      <c r="F40" s="5"/>
      <c r="G40" s="774" t="s">
        <v>2</v>
      </c>
      <c r="H40" s="775" t="s">
        <v>597</v>
      </c>
      <c r="I40" s="874" t="s">
        <v>598</v>
      </c>
      <c r="J40" s="778">
        <f xml:space="preserve"> Programme!C84</f>
        <v>5.2914285714285711E-3</v>
      </c>
      <c r="K40" s="808">
        <f>Programme!F59</f>
        <v>175.14559813084111</v>
      </c>
    </row>
    <row r="41" spans="1:11" ht="15.75" customHeight="1">
      <c r="A41" s="774"/>
      <c r="B41" s="775"/>
      <c r="C41" s="777"/>
      <c r="D41" s="785"/>
      <c r="E41" s="781"/>
      <c r="F41" s="5"/>
      <c r="G41" s="774"/>
      <c r="H41" s="775"/>
      <c r="I41" s="874"/>
      <c r="J41" s="788"/>
      <c r="K41" s="809"/>
    </row>
    <row r="42" spans="1:11" ht="18.75">
      <c r="A42" s="267"/>
      <c r="B42" s="268">
        <f>Programme!F51</f>
        <v>2.9756219149308593E-3</v>
      </c>
      <c r="C42" s="269" t="s">
        <v>551</v>
      </c>
      <c r="D42" s="270"/>
      <c r="E42" s="271"/>
      <c r="F42" s="5"/>
      <c r="G42" s="272"/>
      <c r="H42" s="273"/>
      <c r="I42" s="274"/>
      <c r="J42" s="284"/>
      <c r="K42" s="401"/>
    </row>
    <row r="43" spans="1:11" ht="18.75">
      <c r="A43" s="267"/>
      <c r="B43" s="273"/>
      <c r="C43" s="270"/>
      <c r="D43" s="270"/>
      <c r="E43" s="271"/>
      <c r="F43" s="5"/>
      <c r="G43" s="5"/>
      <c r="H43" s="5"/>
      <c r="I43" s="5"/>
      <c r="J43" s="148"/>
      <c r="K43" s="400"/>
    </row>
    <row r="44" spans="1:11">
      <c r="A44" s="768" t="s">
        <v>552</v>
      </c>
      <c r="B44" s="769" t="s">
        <v>33</v>
      </c>
      <c r="C44" s="770" t="s">
        <v>47</v>
      </c>
      <c r="D44" s="770" t="s">
        <v>553</v>
      </c>
      <c r="E44" s="770" t="s">
        <v>544</v>
      </c>
      <c r="F44" s="875"/>
      <c r="G44" s="768" t="s">
        <v>563</v>
      </c>
      <c r="H44" s="769" t="s">
        <v>10</v>
      </c>
      <c r="I44" s="772" t="s">
        <v>546</v>
      </c>
      <c r="J44" s="873" t="s">
        <v>547</v>
      </c>
      <c r="K44" s="840" t="s">
        <v>517</v>
      </c>
    </row>
    <row r="45" spans="1:11">
      <c r="A45" s="768"/>
      <c r="B45" s="769"/>
      <c r="C45" s="770"/>
      <c r="D45" s="770"/>
      <c r="E45" s="770"/>
      <c r="F45" s="875"/>
      <c r="G45" s="768"/>
      <c r="H45" s="769"/>
      <c r="I45" s="772"/>
      <c r="J45" s="873"/>
      <c r="K45" s="840"/>
    </row>
    <row r="46" spans="1:11" ht="15.75" customHeight="1">
      <c r="A46" s="774" t="s">
        <v>2</v>
      </c>
      <c r="B46" s="775" t="s">
        <v>554</v>
      </c>
      <c r="C46" s="784">
        <v>0.7</v>
      </c>
      <c r="D46" s="786">
        <v>8</v>
      </c>
      <c r="E46" s="778">
        <f>B48 *D46</f>
        <v>2.7205288284979798E-2</v>
      </c>
      <c r="F46" s="5"/>
      <c r="G46" s="774" t="s">
        <v>2</v>
      </c>
      <c r="H46" s="775" t="s">
        <v>549</v>
      </c>
      <c r="I46" s="782" t="s">
        <v>550</v>
      </c>
      <c r="J46" s="778">
        <f>Programme!C70</f>
        <v>1.1255768979914311E-3</v>
      </c>
      <c r="K46" s="780">
        <f>Programme!F58</f>
        <v>187</v>
      </c>
    </row>
    <row r="47" spans="1:11" ht="16.5" customHeight="1">
      <c r="A47" s="774"/>
      <c r="B47" s="775"/>
      <c r="C47" s="785"/>
      <c r="D47" s="787"/>
      <c r="E47" s="788"/>
      <c r="F47" s="5"/>
      <c r="G47" s="774"/>
      <c r="H47" s="775"/>
      <c r="I47" s="782"/>
      <c r="J47" s="788"/>
      <c r="K47" s="781"/>
    </row>
    <row r="48" spans="1:11" ht="19.5">
      <c r="A48" s="265"/>
      <c r="B48" s="268">
        <f>Programme!C102</f>
        <v>3.4006610356224747E-3</v>
      </c>
      <c r="C48" s="269" t="s">
        <v>551</v>
      </c>
      <c r="D48" s="278" t="s">
        <v>555</v>
      </c>
      <c r="E48" s="363">
        <f>Programme!F62</f>
        <v>151.47</v>
      </c>
      <c r="F48" s="5"/>
      <c r="G48" s="5"/>
      <c r="H48" s="5"/>
      <c r="I48" s="5"/>
      <c r="J48" s="5"/>
      <c r="K48" s="266"/>
    </row>
    <row r="49" spans="1:11">
      <c r="A49" s="279"/>
      <c r="B49" s="9"/>
      <c r="C49" s="9"/>
      <c r="D49" s="9"/>
      <c r="E49" s="9"/>
      <c r="F49" s="9"/>
      <c r="G49" s="9"/>
      <c r="H49" s="9"/>
      <c r="I49" s="9"/>
      <c r="J49" s="9"/>
      <c r="K49" s="280"/>
    </row>
    <row r="50" spans="1:11">
      <c r="A50" s="5"/>
      <c r="B50" s="5"/>
      <c r="C50" s="5"/>
      <c r="D50" s="5"/>
      <c r="E50" s="5"/>
      <c r="F50" s="5"/>
      <c r="G50" s="5"/>
      <c r="H50" s="5"/>
      <c r="I50" s="5"/>
      <c r="J50" s="5"/>
      <c r="K50" s="5"/>
    </row>
    <row r="51" spans="1:11">
      <c r="A51" s="765" t="s">
        <v>506</v>
      </c>
      <c r="B51" s="766"/>
      <c r="C51" s="766"/>
      <c r="D51" s="766"/>
      <c r="E51" s="766"/>
      <c r="F51" s="766"/>
      <c r="G51" s="766"/>
      <c r="H51" s="766"/>
      <c r="I51" s="766"/>
      <c r="J51" s="766"/>
      <c r="K51" s="767"/>
    </row>
    <row r="52" spans="1:11">
      <c r="A52" s="265"/>
      <c r="B52" s="5"/>
      <c r="C52" s="5"/>
      <c r="D52" s="5"/>
      <c r="E52" s="5"/>
      <c r="F52" s="5"/>
      <c r="G52" s="5"/>
      <c r="H52" s="5"/>
      <c r="I52" s="5"/>
      <c r="J52" s="5"/>
      <c r="K52" s="266"/>
    </row>
    <row r="53" spans="1:11">
      <c r="A53" s="789" t="s">
        <v>541</v>
      </c>
      <c r="B53" s="791" t="s">
        <v>556</v>
      </c>
      <c r="C53" s="793" t="s">
        <v>557</v>
      </c>
      <c r="D53" s="793" t="s">
        <v>553</v>
      </c>
      <c r="E53" s="793" t="s">
        <v>544</v>
      </c>
      <c r="F53" s="5"/>
      <c r="G53" s="789" t="s">
        <v>545</v>
      </c>
      <c r="H53" s="791" t="s">
        <v>558</v>
      </c>
      <c r="I53" s="793" t="s">
        <v>559</v>
      </c>
      <c r="J53" s="793" t="s">
        <v>544</v>
      </c>
      <c r="K53" s="795" t="s">
        <v>517</v>
      </c>
    </row>
    <row r="54" spans="1:11">
      <c r="A54" s="790"/>
      <c r="B54" s="792"/>
      <c r="C54" s="794"/>
      <c r="D54" s="794"/>
      <c r="E54" s="794"/>
      <c r="F54" s="5"/>
      <c r="G54" s="790"/>
      <c r="H54" s="792"/>
      <c r="I54" s="794"/>
      <c r="J54" s="794"/>
      <c r="K54" s="796"/>
    </row>
    <row r="55" spans="1:11" ht="15.75" customHeight="1">
      <c r="A55" s="797" t="s">
        <v>534</v>
      </c>
      <c r="B55" s="845" t="s">
        <v>560</v>
      </c>
      <c r="C55" s="799">
        <f>Programme!A60</f>
        <v>85</v>
      </c>
      <c r="D55" s="801">
        <v>15</v>
      </c>
      <c r="E55" s="803">
        <f>B57*D55</f>
        <v>4.2016134453781516E-2</v>
      </c>
      <c r="F55" s="5"/>
      <c r="G55" s="754" t="s">
        <v>2</v>
      </c>
      <c r="H55" s="756" t="s">
        <v>561</v>
      </c>
      <c r="I55" s="805" t="s">
        <v>562</v>
      </c>
      <c r="J55" s="803">
        <f xml:space="preserve"> Programme!C82</f>
        <v>2.6457142857142855E-3</v>
      </c>
      <c r="K55" s="808">
        <f>K40</f>
        <v>175.14559813084111</v>
      </c>
    </row>
    <row r="56" spans="1:11" ht="15.75" customHeight="1" thickBot="1">
      <c r="A56" s="798"/>
      <c r="B56" s="863"/>
      <c r="C56" s="800"/>
      <c r="D56" s="802"/>
      <c r="E56" s="804"/>
      <c r="F56" s="5"/>
      <c r="G56" s="755"/>
      <c r="H56" s="757"/>
      <c r="I56" s="806"/>
      <c r="J56" s="876"/>
      <c r="K56" s="809"/>
    </row>
    <row r="57" spans="1:11" ht="15.75" customHeight="1">
      <c r="A57" s="267"/>
      <c r="B57" s="268">
        <f>Programme!C91</f>
        <v>2.801075630252101E-3</v>
      </c>
      <c r="C57" s="269" t="s">
        <v>551</v>
      </c>
      <c r="D57" s="281" t="s">
        <v>555</v>
      </c>
      <c r="E57" s="386">
        <f>Programme!F60</f>
        <v>169.21839719626166</v>
      </c>
      <c r="F57" s="283"/>
      <c r="G57" s="272"/>
      <c r="H57" s="273"/>
      <c r="I57" s="274"/>
      <c r="J57" s="284"/>
      <c r="K57" s="401"/>
    </row>
    <row r="58" spans="1:11" ht="16.5" customHeight="1">
      <c r="A58" s="265"/>
      <c r="B58" s="148"/>
      <c r="C58" s="148"/>
      <c r="D58" s="5"/>
      <c r="E58" s="148"/>
      <c r="F58" s="5"/>
      <c r="G58" s="5"/>
      <c r="H58" s="5"/>
      <c r="I58" s="5"/>
      <c r="J58" s="148"/>
      <c r="K58" s="400"/>
    </row>
    <row r="59" spans="1:11">
      <c r="A59" s="789" t="s">
        <v>552</v>
      </c>
      <c r="B59" s="853" t="s">
        <v>33</v>
      </c>
      <c r="C59" s="877" t="s">
        <v>47</v>
      </c>
      <c r="D59" s="793" t="s">
        <v>553</v>
      </c>
      <c r="E59" s="877" t="s">
        <v>544</v>
      </c>
      <c r="F59" s="5"/>
      <c r="G59" s="789" t="s">
        <v>563</v>
      </c>
      <c r="H59" s="791" t="s">
        <v>10</v>
      </c>
      <c r="I59" s="879" t="s">
        <v>599</v>
      </c>
      <c r="J59" s="857" t="s">
        <v>547</v>
      </c>
      <c r="K59" s="859" t="s">
        <v>517</v>
      </c>
    </row>
    <row r="60" spans="1:11">
      <c r="A60" s="790"/>
      <c r="B60" s="854"/>
      <c r="C60" s="878"/>
      <c r="D60" s="794"/>
      <c r="E60" s="878"/>
      <c r="F60" s="5"/>
      <c r="G60" s="790"/>
      <c r="H60" s="792"/>
      <c r="I60" s="880"/>
      <c r="J60" s="858"/>
      <c r="K60" s="860"/>
    </row>
    <row r="61" spans="1:11">
      <c r="A61" s="754" t="s">
        <v>2</v>
      </c>
      <c r="B61" s="845" t="s">
        <v>565</v>
      </c>
      <c r="C61" s="816">
        <v>0.7</v>
      </c>
      <c r="D61" s="801">
        <v>12</v>
      </c>
      <c r="E61" s="803">
        <f>B63 *D61</f>
        <v>4.0807932427469697E-2</v>
      </c>
      <c r="F61" s="5"/>
      <c r="G61" s="754" t="s">
        <v>2</v>
      </c>
      <c r="H61" s="756" t="s">
        <v>600</v>
      </c>
      <c r="I61" s="881" t="s">
        <v>601</v>
      </c>
      <c r="J61" s="803">
        <f>Programme!C72</f>
        <v>6.632175720274133E-4</v>
      </c>
      <c r="K61" s="808">
        <f>K46</f>
        <v>187</v>
      </c>
    </row>
    <row r="62" spans="1:11" ht="16.5" thickBot="1">
      <c r="A62" s="755"/>
      <c r="B62" s="863"/>
      <c r="C62" s="817"/>
      <c r="D62" s="802"/>
      <c r="E62" s="876"/>
      <c r="F62" s="5"/>
      <c r="G62" s="755"/>
      <c r="H62" s="757"/>
      <c r="I62" s="882"/>
      <c r="J62" s="876"/>
      <c r="K62" s="809"/>
    </row>
    <row r="63" spans="1:11" ht="18.75">
      <c r="A63" s="267"/>
      <c r="B63" s="268">
        <f>B48</f>
        <v>3.4006610356224747E-3</v>
      </c>
      <c r="C63" s="269" t="s">
        <v>551</v>
      </c>
      <c r="D63" s="281" t="s">
        <v>555</v>
      </c>
      <c r="E63" s="282">
        <f>E48</f>
        <v>151.47</v>
      </c>
      <c r="F63" s="284"/>
      <c r="G63" s="5"/>
      <c r="H63" s="5"/>
      <c r="I63" s="5"/>
      <c r="J63" s="5"/>
      <c r="K63" s="266"/>
    </row>
    <row r="64" spans="1:11" ht="18.75">
      <c r="A64" s="340"/>
      <c r="B64" s="341"/>
      <c r="C64" s="342"/>
      <c r="D64" s="343"/>
      <c r="E64" s="290"/>
      <c r="F64" s="290"/>
      <c r="G64" s="9"/>
      <c r="H64" s="9"/>
      <c r="I64" s="9"/>
      <c r="J64" s="9"/>
      <c r="K64" s="280"/>
    </row>
    <row r="65" spans="1:11" ht="18.75">
      <c r="A65" s="259"/>
      <c r="B65" s="344"/>
      <c r="C65" s="259"/>
      <c r="D65" s="259"/>
      <c r="E65" s="259"/>
      <c r="I65" s="5"/>
      <c r="J65" s="5"/>
      <c r="K65" s="5"/>
    </row>
    <row r="66" spans="1:11" ht="18.75" customHeight="1">
      <c r="A66" s="259"/>
      <c r="B66" s="344"/>
      <c r="C66" s="789" t="s">
        <v>602</v>
      </c>
      <c r="D66" s="791" t="s">
        <v>564</v>
      </c>
      <c r="E66" s="348"/>
      <c r="F66" s="821" t="s">
        <v>566</v>
      </c>
      <c r="G66" s="822"/>
      <c r="H66" s="822"/>
      <c r="I66" s="823"/>
      <c r="J66" s="5"/>
      <c r="K66" s="5"/>
    </row>
    <row r="67" spans="1:11" ht="19.5" thickBot="1">
      <c r="A67" s="259"/>
      <c r="B67" s="344"/>
      <c r="C67" s="883"/>
      <c r="D67" s="884"/>
      <c r="E67" s="348"/>
      <c r="F67" s="824"/>
      <c r="G67" s="825"/>
      <c r="H67" s="825"/>
      <c r="I67" s="826"/>
      <c r="J67" s="5"/>
      <c r="K67" s="5"/>
    </row>
    <row r="68" spans="1:11" ht="18.75">
      <c r="A68" s="259"/>
      <c r="B68" s="344"/>
      <c r="C68" s="259"/>
      <c r="D68" s="259"/>
      <c r="E68" s="259"/>
      <c r="I68" s="5"/>
      <c r="J68" s="5"/>
      <c r="K68" s="5"/>
    </row>
    <row r="69" spans="1:11" ht="19.5" thickBot="1">
      <c r="A69" s="259"/>
      <c r="B69" s="344"/>
      <c r="C69" s="259"/>
      <c r="D69" s="259"/>
      <c r="E69" s="259"/>
      <c r="I69" s="5"/>
      <c r="J69" s="5"/>
      <c r="K69" s="5"/>
    </row>
    <row r="70" spans="1:11" ht="18.75">
      <c r="A70" s="259"/>
      <c r="B70" s="344"/>
      <c r="C70" s="827" t="s">
        <v>567</v>
      </c>
      <c r="D70" s="828"/>
      <c r="E70" s="141" t="s">
        <v>568</v>
      </c>
      <c r="F70" s="292">
        <v>186</v>
      </c>
      <c r="G70" s="402" t="s">
        <v>10</v>
      </c>
      <c r="H70" s="397">
        <v>16.5</v>
      </c>
      <c r="I70" s="354" t="s">
        <v>11</v>
      </c>
      <c r="J70" s="5"/>
      <c r="K70" s="5"/>
    </row>
    <row r="71" spans="1:11" ht="19.5" thickBot="1">
      <c r="A71" s="259"/>
      <c r="B71" s="344"/>
      <c r="C71" s="294"/>
      <c r="D71" s="295"/>
      <c r="E71" s="295"/>
      <c r="F71" s="5"/>
      <c r="G71" s="5"/>
      <c r="I71" s="266"/>
      <c r="J71" s="5"/>
      <c r="K71" s="5"/>
    </row>
    <row r="72" spans="1:11" ht="19.5" thickBot="1">
      <c r="A72" s="259"/>
      <c r="B72" s="344"/>
      <c r="C72" s="294"/>
      <c r="D72" s="296"/>
      <c r="E72" s="297" t="s">
        <v>12</v>
      </c>
      <c r="F72" s="298">
        <v>112</v>
      </c>
      <c r="G72" s="299" t="s">
        <v>13</v>
      </c>
      <c r="H72" s="147" t="str">
        <f>IF(F72&lt;F70*0.5652,"Excellente",IF(F72&lt;F70*0.5815,"Très bonne",IF(F72&lt;F70*0.6033,"Bonne",IF(F72&lt;F70*0.6304,"Moyenne",IF(F72&lt;F70*0.663,"Médiocre",IF(F72&lt;F70*0.6902,"Mauvaise","Très mauvaise"))))))</f>
        <v>Bonne</v>
      </c>
      <c r="I72" s="266"/>
      <c r="J72" s="5"/>
      <c r="K72" s="5"/>
    </row>
    <row r="73" spans="1:11" ht="18.75">
      <c r="A73" s="259"/>
      <c r="B73" s="344"/>
      <c r="C73" s="294"/>
      <c r="D73" s="5"/>
      <c r="E73" s="5"/>
      <c r="F73" s="300" t="s">
        <v>569</v>
      </c>
      <c r="G73" s="301" t="s">
        <v>570</v>
      </c>
      <c r="H73" s="4">
        <f>(3.5*H70)</f>
        <v>57.75</v>
      </c>
      <c r="I73" s="355" t="s">
        <v>14</v>
      </c>
      <c r="J73" s="5"/>
      <c r="K73" s="5"/>
    </row>
    <row r="74" spans="1:11" ht="19.5" thickBot="1">
      <c r="A74" s="259"/>
      <c r="B74" s="344"/>
      <c r="C74" s="829" t="s">
        <v>571</v>
      </c>
      <c r="D74" s="830"/>
      <c r="E74" s="302">
        <f>IF(H70&lt;10,75,IF(H70&lt;12,78,IF(H70&lt;13,80,IF(H70&lt;14,82,IF(H70&lt;15,84,IF(H70&lt;16,85,IF(H70&lt;18,87,90)))))))</f>
        <v>87</v>
      </c>
      <c r="F74" s="303" t="s">
        <v>129</v>
      </c>
      <c r="G74" s="304"/>
      <c r="H74" s="305"/>
      <c r="I74" s="356"/>
      <c r="J74" s="5"/>
      <c r="K74" s="5"/>
    </row>
    <row r="75" spans="1:11" ht="18.75">
      <c r="A75" s="259"/>
      <c r="B75" s="344"/>
      <c r="C75" s="300"/>
      <c r="D75" s="300"/>
      <c r="E75" s="306"/>
      <c r="F75" s="307"/>
      <c r="G75" s="301"/>
      <c r="H75" s="308"/>
      <c r="I75" s="309"/>
      <c r="J75" s="5"/>
      <c r="K75" s="5"/>
    </row>
    <row r="76" spans="1:11" ht="36" customHeight="1">
      <c r="A76" s="259"/>
      <c r="B76" s="344"/>
      <c r="C76" s="310" t="s">
        <v>21</v>
      </c>
      <c r="D76" s="310" t="s">
        <v>22</v>
      </c>
      <c r="E76" s="310" t="s">
        <v>23</v>
      </c>
      <c r="F76" s="831" t="s">
        <v>572</v>
      </c>
      <c r="G76" s="832"/>
      <c r="H76" s="831" t="s">
        <v>573</v>
      </c>
      <c r="I76" s="832"/>
      <c r="J76" s="5"/>
      <c r="K76" s="5"/>
    </row>
    <row r="77" spans="1:11" ht="18.75">
      <c r="A77" s="259"/>
      <c r="B77" s="344"/>
      <c r="C77" s="10">
        <v>100</v>
      </c>
      <c r="D77" s="4">
        <f>H70</f>
        <v>16.5</v>
      </c>
      <c r="E77" s="4">
        <f t="shared" ref="E77:E83" si="0">(D77/3.6)</f>
        <v>4.583333333333333</v>
      </c>
      <c r="F77" s="833" t="s">
        <v>25</v>
      </c>
      <c r="G77" s="834"/>
      <c r="H77" s="835">
        <f>F70</f>
        <v>186</v>
      </c>
      <c r="I77" s="836"/>
      <c r="J77" s="5"/>
      <c r="K77" s="5"/>
    </row>
    <row r="78" spans="1:11" ht="18.75">
      <c r="A78" s="259"/>
      <c r="B78" s="344"/>
      <c r="C78" s="312">
        <f>E74</f>
        <v>87</v>
      </c>
      <c r="D78" s="4">
        <f>(C78*H70/100)</f>
        <v>14.355</v>
      </c>
      <c r="E78" s="4">
        <f t="shared" si="0"/>
        <v>3.9874999999999998</v>
      </c>
      <c r="F78" s="833" t="s">
        <v>26</v>
      </c>
      <c r="G78" s="834"/>
      <c r="H78" s="837">
        <f>((H77-H81)/(D77-D81)*D78+(H77-I83*D77))</f>
        <v>170.67168785046726</v>
      </c>
      <c r="I78" s="838"/>
      <c r="J78" s="5"/>
      <c r="K78" s="5"/>
    </row>
    <row r="79" spans="1:11" ht="18.75">
      <c r="A79" s="259"/>
      <c r="B79" s="344"/>
      <c r="C79" s="17">
        <f>IF(C78=80,C78-3,C78-5)</f>
        <v>82</v>
      </c>
      <c r="D79" s="4">
        <f>(C79*H70/100)</f>
        <v>13.53</v>
      </c>
      <c r="E79" s="4">
        <f t="shared" si="0"/>
        <v>3.7583333333333329</v>
      </c>
      <c r="F79" s="833" t="s">
        <v>27</v>
      </c>
      <c r="G79" s="834"/>
      <c r="H79" s="837">
        <f>((H77-H81)/(D77-D81)*D79+(H77-I83*D77))</f>
        <v>164.77618317757009</v>
      </c>
      <c r="I79" s="838"/>
      <c r="J79" s="5"/>
      <c r="K79" s="5"/>
    </row>
    <row r="80" spans="1:11" ht="18.75">
      <c r="A80" s="259"/>
      <c r="B80" s="344"/>
      <c r="C80" s="314">
        <f>(C81+C78)/2</f>
        <v>78.5140056022409</v>
      </c>
      <c r="D80" s="47">
        <f>(C80*H70/100)</f>
        <v>12.954810924369749</v>
      </c>
      <c r="E80" s="47">
        <f t="shared" si="0"/>
        <v>3.5985585901027077</v>
      </c>
      <c r="F80" s="315" t="s">
        <v>28</v>
      </c>
      <c r="G80" s="315"/>
      <c r="H80" s="837">
        <f>((H77-H81)/(D77-D81)*D80+(H77-I83*D77))</f>
        <v>160.66584392523362</v>
      </c>
      <c r="I80" s="838"/>
      <c r="J80" s="5"/>
      <c r="K80" s="5"/>
    </row>
    <row r="81" spans="1:14" ht="18.75">
      <c r="A81" s="259"/>
      <c r="B81" s="344"/>
      <c r="C81" s="17">
        <v>70.0280112044818</v>
      </c>
      <c r="D81" s="4">
        <f>(C81*H70/100)</f>
        <v>11.554621848739497</v>
      </c>
      <c r="E81" s="4">
        <f t="shared" si="0"/>
        <v>3.2096171802054156</v>
      </c>
      <c r="F81" s="833" t="s">
        <v>29</v>
      </c>
      <c r="G81" s="834"/>
      <c r="H81" s="837">
        <f>(81*H77/100)</f>
        <v>150.66</v>
      </c>
      <c r="I81" s="838"/>
      <c r="J81" s="5"/>
      <c r="K81" s="5"/>
    </row>
    <row r="82" spans="1:14" ht="18.75">
      <c r="A82" s="259"/>
      <c r="B82" s="344"/>
      <c r="C82" s="17">
        <v>135.01400560224093</v>
      </c>
      <c r="D82" s="4">
        <f>(C82*H70/100)</f>
        <v>22.277310924369754</v>
      </c>
      <c r="E82" s="4">
        <f t="shared" si="0"/>
        <v>6.1881419234360422</v>
      </c>
      <c r="F82" s="833" t="s">
        <v>30</v>
      </c>
      <c r="G82" s="834"/>
      <c r="H82" s="32"/>
      <c r="I82" s="403"/>
      <c r="J82" s="5"/>
      <c r="K82" s="5"/>
    </row>
    <row r="83" spans="1:14" ht="18.75">
      <c r="A83" s="259"/>
      <c r="B83" s="344"/>
      <c r="C83" s="17">
        <v>105.0420168067227</v>
      </c>
      <c r="D83" s="4">
        <f>(C83*H70/100)</f>
        <v>17.331932773109244</v>
      </c>
      <c r="E83" s="4">
        <f t="shared" si="0"/>
        <v>4.814425770308123</v>
      </c>
      <c r="F83" s="833" t="s">
        <v>31</v>
      </c>
      <c r="G83" s="834"/>
      <c r="H83" s="32"/>
      <c r="I83" s="61">
        <f>(H77-H81)/(D77-D81)</f>
        <v>7.146066270178423</v>
      </c>
      <c r="J83" s="5"/>
      <c r="K83" s="5"/>
    </row>
    <row r="84" spans="1:14" ht="18.75">
      <c r="A84" s="259"/>
      <c r="B84" s="344"/>
      <c r="C84" s="259"/>
      <c r="D84" s="259"/>
      <c r="E84" s="259"/>
      <c r="I84" s="5"/>
      <c r="J84" s="5"/>
      <c r="K84" s="5"/>
    </row>
    <row r="85" spans="1:14">
      <c r="A85" s="5"/>
      <c r="B85" s="5"/>
      <c r="C85" s="5"/>
      <c r="D85" s="300"/>
      <c r="E85" s="301"/>
      <c r="F85" s="308"/>
      <c r="G85" s="309"/>
      <c r="H85" s="5"/>
      <c r="I85" s="5"/>
      <c r="J85" s="5"/>
      <c r="K85" s="5"/>
      <c r="L85" s="5"/>
      <c r="M85" s="5"/>
      <c r="N85" s="5"/>
    </row>
    <row r="86" spans="1:14">
      <c r="A86" s="5"/>
      <c r="B86" s="5"/>
      <c r="C86" s="5"/>
      <c r="D86" s="300"/>
      <c r="E86" s="301"/>
      <c r="F86" s="308"/>
      <c r="G86" s="309"/>
      <c r="H86" s="5"/>
      <c r="I86" s="5"/>
      <c r="J86" s="5"/>
      <c r="K86" s="5"/>
    </row>
    <row r="87" spans="1:14">
      <c r="A87" s="765" t="s">
        <v>507</v>
      </c>
      <c r="B87" s="766"/>
      <c r="C87" s="766"/>
      <c r="D87" s="766"/>
      <c r="E87" s="766"/>
      <c r="F87" s="766"/>
      <c r="G87" s="766"/>
      <c r="H87" s="766"/>
      <c r="I87" s="766"/>
      <c r="J87" s="766"/>
      <c r="K87" s="767"/>
    </row>
    <row r="88" spans="1:14">
      <c r="A88" s="768" t="s">
        <v>541</v>
      </c>
      <c r="B88" s="769" t="s">
        <v>542</v>
      </c>
      <c r="C88" s="770" t="s">
        <v>543</v>
      </c>
      <c r="D88" s="770" t="s">
        <v>544</v>
      </c>
      <c r="E88" s="771" t="s">
        <v>517</v>
      </c>
      <c r="F88" s="308"/>
      <c r="G88" s="789" t="s">
        <v>545</v>
      </c>
      <c r="H88" s="791" t="s">
        <v>558</v>
      </c>
      <c r="I88" s="793" t="s">
        <v>576</v>
      </c>
      <c r="J88" s="793" t="s">
        <v>544</v>
      </c>
      <c r="K88" s="795" t="s">
        <v>517</v>
      </c>
    </row>
    <row r="89" spans="1:14">
      <c r="A89" s="768"/>
      <c r="B89" s="769"/>
      <c r="C89" s="770"/>
      <c r="D89" s="770"/>
      <c r="E89" s="771"/>
      <c r="F89" s="308"/>
      <c r="G89" s="790"/>
      <c r="H89" s="792"/>
      <c r="I89" s="794"/>
      <c r="J89" s="794"/>
      <c r="K89" s="796"/>
    </row>
    <row r="90" spans="1:14" ht="15.75" customHeight="1">
      <c r="A90" s="774" t="s">
        <v>2</v>
      </c>
      <c r="B90" s="775" t="s">
        <v>579</v>
      </c>
      <c r="C90" s="776">
        <v>10</v>
      </c>
      <c r="D90" s="778">
        <f>(C90*B92)</f>
        <v>3.2162568981705962E-2</v>
      </c>
      <c r="E90" s="885">
        <f>H80</f>
        <v>160.66584392523362</v>
      </c>
      <c r="F90" s="308"/>
      <c r="G90" s="841" t="s">
        <v>577</v>
      </c>
      <c r="H90" s="845" t="s">
        <v>578</v>
      </c>
      <c r="I90" s="805" t="s">
        <v>359</v>
      </c>
      <c r="J90" s="848">
        <f>((3*0.04167)/(E74/100*H70))</f>
        <v>8.708463949843261E-3</v>
      </c>
      <c r="K90" s="808">
        <f>H78</f>
        <v>170.67168785046726</v>
      </c>
    </row>
    <row r="91" spans="1:14" ht="15.75" customHeight="1">
      <c r="A91" s="774"/>
      <c r="B91" s="775"/>
      <c r="C91" s="777"/>
      <c r="D91" s="785"/>
      <c r="E91" s="886"/>
      <c r="F91" s="308"/>
      <c r="G91" s="887"/>
      <c r="H91" s="863"/>
      <c r="I91" s="888"/>
      <c r="J91" s="849"/>
      <c r="K91" s="809"/>
    </row>
    <row r="92" spans="1:14" ht="15.75" customHeight="1">
      <c r="A92" s="265"/>
      <c r="B92" s="336">
        <f>((1*0.041666)/(C80/100*H70))</f>
        <v>3.2162568981705963E-3</v>
      </c>
      <c r="C92" s="322" t="s">
        <v>580</v>
      </c>
      <c r="D92" s="300"/>
      <c r="E92" s="301"/>
      <c r="F92" s="308"/>
      <c r="G92" s="309"/>
      <c r="H92" s="5"/>
      <c r="I92" s="101" t="s">
        <v>358</v>
      </c>
      <c r="J92" s="321">
        <f>((2*0.04167)/(E74/100*H70))</f>
        <v>5.8056426332288398E-3</v>
      </c>
      <c r="K92" s="400"/>
    </row>
    <row r="93" spans="1:14" ht="15.75" customHeight="1">
      <c r="A93" s="265"/>
      <c r="B93" s="148"/>
      <c r="C93" s="5"/>
      <c r="D93" s="300"/>
      <c r="E93" s="301"/>
      <c r="F93" s="308"/>
      <c r="G93" s="309"/>
      <c r="H93" s="5"/>
      <c r="I93" s="101" t="s">
        <v>145</v>
      </c>
      <c r="J93" s="321">
        <f>((1*0.04167)/(E74/100*H70))</f>
        <v>2.9028213166144199E-3</v>
      </c>
      <c r="K93" s="400"/>
    </row>
    <row r="94" spans="1:14">
      <c r="A94" s="265"/>
      <c r="B94" s="148"/>
      <c r="C94" s="5"/>
      <c r="D94" s="300"/>
      <c r="E94" s="301"/>
      <c r="F94" s="308"/>
      <c r="G94" s="309"/>
      <c r="H94" s="5"/>
      <c r="I94" s="5"/>
      <c r="J94" s="148"/>
      <c r="K94" s="400"/>
    </row>
    <row r="95" spans="1:14">
      <c r="A95" s="789" t="s">
        <v>552</v>
      </c>
      <c r="B95" s="853" t="s">
        <v>33</v>
      </c>
      <c r="C95" s="793" t="s">
        <v>47</v>
      </c>
      <c r="D95" s="793" t="s">
        <v>553</v>
      </c>
      <c r="E95" s="793" t="s">
        <v>544</v>
      </c>
      <c r="F95" s="5"/>
      <c r="G95" s="851" t="s">
        <v>563</v>
      </c>
      <c r="H95" s="853" t="s">
        <v>10</v>
      </c>
      <c r="I95" s="855" t="s">
        <v>581</v>
      </c>
      <c r="J95" s="857" t="s">
        <v>582</v>
      </c>
      <c r="K95" s="859" t="s">
        <v>517</v>
      </c>
    </row>
    <row r="96" spans="1:14">
      <c r="A96" s="790"/>
      <c r="B96" s="854"/>
      <c r="C96" s="794"/>
      <c r="D96" s="794"/>
      <c r="E96" s="794"/>
      <c r="F96" s="5"/>
      <c r="G96" s="852"/>
      <c r="H96" s="854"/>
      <c r="I96" s="856"/>
      <c r="J96" s="858"/>
      <c r="K96" s="860"/>
    </row>
    <row r="97" spans="1:11">
      <c r="A97" s="754" t="s">
        <v>2</v>
      </c>
      <c r="B97" s="845" t="s">
        <v>565</v>
      </c>
      <c r="C97" s="816">
        <v>0.7</v>
      </c>
      <c r="D97" s="801">
        <v>12</v>
      </c>
      <c r="E97" s="803">
        <f>B99 *D97</f>
        <v>4.3281140453376957E-2</v>
      </c>
      <c r="F97" s="5"/>
      <c r="G97" s="861" t="s">
        <v>2</v>
      </c>
      <c r="H97" s="845" t="s">
        <v>603</v>
      </c>
      <c r="I97" s="816" t="s">
        <v>584</v>
      </c>
      <c r="J97" s="865">
        <f>((0.2*0.04271)/(1.1138547*H70))</f>
        <v>4.6477962493399693E-4</v>
      </c>
      <c r="K97" s="890">
        <f>H77</f>
        <v>186</v>
      </c>
    </row>
    <row r="98" spans="1:11" ht="16.5" thickBot="1">
      <c r="A98" s="755"/>
      <c r="B98" s="863"/>
      <c r="C98" s="817"/>
      <c r="D98" s="802"/>
      <c r="E98" s="876"/>
      <c r="F98" s="5"/>
      <c r="G98" s="862"/>
      <c r="H98" s="863"/>
      <c r="I98" s="864"/>
      <c r="J98" s="889"/>
      <c r="K98" s="891"/>
    </row>
    <row r="99" spans="1:11" ht="19.5">
      <c r="A99" s="265"/>
      <c r="B99" s="268">
        <f>((1*0.04167)/(0.7002*H70))</f>
        <v>3.6067617044480797E-3</v>
      </c>
      <c r="C99" s="349" t="s">
        <v>580</v>
      </c>
      <c r="D99" s="281" t="s">
        <v>555</v>
      </c>
      <c r="E99" s="386">
        <f>H81</f>
        <v>150.66</v>
      </c>
      <c r="F99" s="5"/>
      <c r="G99" s="309"/>
      <c r="H99" s="5"/>
      <c r="I99" s="5"/>
      <c r="J99" s="5"/>
      <c r="K99" s="266"/>
    </row>
    <row r="100" spans="1:11" ht="18.75">
      <c r="A100" s="279"/>
      <c r="B100" s="9"/>
      <c r="C100" s="9"/>
      <c r="D100" s="9"/>
      <c r="E100" s="9"/>
      <c r="F100" s="9"/>
      <c r="G100" s="350"/>
      <c r="H100" s="286"/>
      <c r="I100" s="287"/>
      <c r="J100" s="343"/>
      <c r="K100" s="351"/>
    </row>
    <row r="101" spans="1:11" ht="18.75">
      <c r="G101" s="272"/>
      <c r="H101" s="291"/>
      <c r="I101" s="323"/>
      <c r="J101" s="324"/>
      <c r="K101" s="284"/>
    </row>
    <row r="102" spans="1:11" ht="18.75" customHeight="1">
      <c r="A102" s="765" t="s">
        <v>585</v>
      </c>
      <c r="B102" s="766"/>
      <c r="C102" s="766"/>
      <c r="D102" s="766"/>
      <c r="E102" s="766"/>
      <c r="F102" s="766"/>
      <c r="G102" s="766"/>
      <c r="H102" s="766"/>
      <c r="I102" s="766"/>
      <c r="J102" s="766"/>
      <c r="K102" s="767"/>
    </row>
    <row r="103" spans="1:11">
      <c r="A103" s="789" t="s">
        <v>541</v>
      </c>
      <c r="B103" s="791" t="s">
        <v>556</v>
      </c>
      <c r="C103" s="793" t="s">
        <v>557</v>
      </c>
      <c r="D103" s="793" t="s">
        <v>553</v>
      </c>
      <c r="E103" s="793" t="s">
        <v>544</v>
      </c>
      <c r="F103" s="5"/>
      <c r="G103" s="851" t="s">
        <v>545</v>
      </c>
      <c r="H103" s="853" t="s">
        <v>10</v>
      </c>
      <c r="I103" s="855" t="s">
        <v>586</v>
      </c>
      <c r="J103" s="857" t="s">
        <v>587</v>
      </c>
      <c r="K103" s="859" t="s">
        <v>517</v>
      </c>
    </row>
    <row r="104" spans="1:11">
      <c r="A104" s="790"/>
      <c r="B104" s="792"/>
      <c r="C104" s="794"/>
      <c r="D104" s="794"/>
      <c r="E104" s="794"/>
      <c r="F104" s="5"/>
      <c r="G104" s="852"/>
      <c r="H104" s="854"/>
      <c r="I104" s="856"/>
      <c r="J104" s="858"/>
      <c r="K104" s="860"/>
    </row>
    <row r="105" spans="1:11">
      <c r="A105" s="797" t="s">
        <v>534</v>
      </c>
      <c r="B105" s="845" t="s">
        <v>560</v>
      </c>
      <c r="C105" s="867">
        <f>C79</f>
        <v>82</v>
      </c>
      <c r="D105" s="801">
        <v>13.5</v>
      </c>
      <c r="E105" s="803">
        <f>B107*D105</f>
        <v>4.1573614190687364E-2</v>
      </c>
      <c r="F105" s="5"/>
      <c r="G105" s="861" t="s">
        <v>2</v>
      </c>
      <c r="H105" s="845" t="s">
        <v>588</v>
      </c>
      <c r="I105" s="816" t="s">
        <v>127</v>
      </c>
      <c r="J105" s="892">
        <f>((0.8*0.041309)/(1.02*H70))</f>
        <v>1.9635888294711823E-3</v>
      </c>
      <c r="K105" s="894">
        <f>H77</f>
        <v>186</v>
      </c>
    </row>
    <row r="106" spans="1:11" ht="16.5" thickBot="1">
      <c r="A106" s="798"/>
      <c r="B106" s="863"/>
      <c r="C106" s="800"/>
      <c r="D106" s="818"/>
      <c r="E106" s="804"/>
      <c r="F106" s="5"/>
      <c r="G106" s="862"/>
      <c r="H106" s="863"/>
      <c r="I106" s="864"/>
      <c r="J106" s="893"/>
      <c r="K106" s="895"/>
    </row>
    <row r="107" spans="1:11" ht="19.5">
      <c r="A107" s="267"/>
      <c r="B107" s="268">
        <f>((1*0.041666)/(C79/100*H70))</f>
        <v>3.079526977087953E-3</v>
      </c>
      <c r="C107" s="269" t="s">
        <v>551</v>
      </c>
      <c r="D107" s="326" t="s">
        <v>589</v>
      </c>
      <c r="E107" s="386">
        <f>H79</f>
        <v>164.77618317757009</v>
      </c>
      <c r="F107" s="5"/>
      <c r="G107" s="272"/>
      <c r="H107" s="291"/>
      <c r="I107" s="323"/>
      <c r="J107" s="404"/>
      <c r="K107" s="325"/>
    </row>
    <row r="108" spans="1:11" ht="18.75">
      <c r="A108" s="265"/>
      <c r="B108" s="148"/>
      <c r="C108" s="148"/>
      <c r="D108" s="5"/>
      <c r="E108" s="148"/>
      <c r="F108" s="5"/>
      <c r="G108" s="272"/>
      <c r="H108" s="291"/>
      <c r="I108" s="323"/>
      <c r="J108" s="404"/>
      <c r="K108" s="325"/>
    </row>
    <row r="109" spans="1:11">
      <c r="A109" s="789" t="s">
        <v>552</v>
      </c>
      <c r="B109" s="853" t="s">
        <v>33</v>
      </c>
      <c r="C109" s="877" t="s">
        <v>47</v>
      </c>
      <c r="D109" s="793" t="s">
        <v>553</v>
      </c>
      <c r="E109" s="877" t="s">
        <v>544</v>
      </c>
      <c r="F109" s="5"/>
      <c r="G109" s="768" t="s">
        <v>604</v>
      </c>
      <c r="H109" s="769" t="s">
        <v>542</v>
      </c>
      <c r="I109" s="770" t="s">
        <v>543</v>
      </c>
      <c r="J109" s="839" t="s">
        <v>544</v>
      </c>
      <c r="K109" s="840" t="s">
        <v>517</v>
      </c>
    </row>
    <row r="110" spans="1:11">
      <c r="A110" s="790"/>
      <c r="B110" s="854"/>
      <c r="C110" s="878"/>
      <c r="D110" s="794"/>
      <c r="E110" s="878"/>
      <c r="F110" s="5"/>
      <c r="G110" s="768"/>
      <c r="H110" s="769"/>
      <c r="I110" s="770"/>
      <c r="J110" s="839"/>
      <c r="K110" s="840"/>
    </row>
    <row r="111" spans="1:11">
      <c r="A111" s="754" t="s">
        <v>2</v>
      </c>
      <c r="B111" s="845" t="s">
        <v>554</v>
      </c>
      <c r="C111" s="816">
        <v>0.7</v>
      </c>
      <c r="D111" s="801">
        <v>10</v>
      </c>
      <c r="E111" s="803">
        <f>B113 *D111</f>
        <v>3.6067617044480797E-2</v>
      </c>
      <c r="F111" s="5"/>
      <c r="G111" s="774" t="s">
        <v>2</v>
      </c>
      <c r="H111" s="775" t="s">
        <v>591</v>
      </c>
      <c r="I111" s="776">
        <v>7</v>
      </c>
      <c r="J111" s="778">
        <f>(I111*H113)</f>
        <v>2.2513798287194173E-2</v>
      </c>
      <c r="K111" s="780">
        <f>H80</f>
        <v>160.66584392523362</v>
      </c>
    </row>
    <row r="112" spans="1:11" ht="16.5" thickBot="1">
      <c r="A112" s="755"/>
      <c r="B112" s="863"/>
      <c r="C112" s="817"/>
      <c r="D112" s="802"/>
      <c r="E112" s="876"/>
      <c r="F112" s="5"/>
      <c r="G112" s="774"/>
      <c r="H112" s="775"/>
      <c r="I112" s="777"/>
      <c r="J112" s="785"/>
      <c r="K112" s="781"/>
    </row>
    <row r="113" spans="1:11" ht="19.5">
      <c r="A113" s="265"/>
      <c r="B113" s="268">
        <f>B99</f>
        <v>3.6067617044480797E-3</v>
      </c>
      <c r="C113" s="349" t="s">
        <v>580</v>
      </c>
      <c r="D113" s="326" t="s">
        <v>589</v>
      </c>
      <c r="E113" s="386">
        <f>H81</f>
        <v>150.66</v>
      </c>
      <c r="F113" s="5"/>
      <c r="G113" s="5"/>
      <c r="H113" s="336">
        <f>B92</f>
        <v>3.2162568981705963E-3</v>
      </c>
      <c r="I113" s="322" t="s">
        <v>580</v>
      </c>
      <c r="J113" s="398"/>
      <c r="K113" s="399"/>
    </row>
    <row r="114" spans="1:11" ht="16.5" customHeight="1">
      <c r="A114" s="265"/>
      <c r="B114" s="5"/>
      <c r="C114" s="5"/>
      <c r="D114" s="5"/>
      <c r="E114" s="5"/>
      <c r="F114" s="5"/>
      <c r="G114" s="352" t="s">
        <v>605</v>
      </c>
      <c r="H114" s="853" t="s">
        <v>10</v>
      </c>
      <c r="I114" s="855" t="s">
        <v>606</v>
      </c>
      <c r="J114" s="857" t="s">
        <v>607</v>
      </c>
      <c r="K114" s="859" t="s">
        <v>517</v>
      </c>
    </row>
    <row r="115" spans="1:11">
      <c r="A115" s="265"/>
      <c r="B115" s="789" t="s">
        <v>602</v>
      </c>
      <c r="C115" s="810" t="s">
        <v>592</v>
      </c>
      <c r="D115" s="811"/>
      <c r="E115" s="812"/>
      <c r="F115" s="5"/>
      <c r="G115" s="272"/>
      <c r="H115" s="854"/>
      <c r="I115" s="856"/>
      <c r="J115" s="858"/>
      <c r="K115" s="860"/>
    </row>
    <row r="116" spans="1:11">
      <c r="A116" s="265"/>
      <c r="B116" s="790"/>
      <c r="C116" s="813"/>
      <c r="D116" s="814"/>
      <c r="E116" s="815"/>
      <c r="F116" s="5"/>
      <c r="G116" s="272"/>
      <c r="H116" s="845" t="s">
        <v>608</v>
      </c>
      <c r="I116" s="816" t="s">
        <v>584</v>
      </c>
      <c r="J116" s="865">
        <f>((0.1*0.0428)/(1.1265461*H70))</f>
        <v>2.3025594726566395E-4</v>
      </c>
      <c r="K116" s="894">
        <f>H77</f>
        <v>186</v>
      </c>
    </row>
    <row r="117" spans="1:11">
      <c r="A117" s="279"/>
      <c r="B117" s="896" t="s">
        <v>593</v>
      </c>
      <c r="C117" s="896"/>
      <c r="D117" s="896"/>
      <c r="E117" s="896"/>
      <c r="F117" s="9"/>
      <c r="G117" s="350"/>
      <c r="H117" s="863"/>
      <c r="I117" s="864"/>
      <c r="J117" s="866"/>
      <c r="K117" s="895"/>
    </row>
    <row r="118" spans="1:11" ht="18.75">
      <c r="A118" s="265"/>
      <c r="B118" s="5"/>
      <c r="C118" s="5"/>
      <c r="D118" s="5"/>
      <c r="E118" s="5"/>
      <c r="F118" s="5"/>
      <c r="G118" s="263"/>
      <c r="H118" s="259"/>
      <c r="I118" s="323"/>
      <c r="J118" s="346"/>
      <c r="K118" s="353"/>
    </row>
    <row r="119" spans="1:11">
      <c r="A119" s="739" t="s">
        <v>1114</v>
      </c>
      <c r="B119" s="739"/>
      <c r="C119" s="739"/>
      <c r="D119" s="739"/>
      <c r="E119" s="739"/>
      <c r="F119" s="739"/>
      <c r="G119" s="739"/>
      <c r="H119" s="739"/>
      <c r="I119" s="739"/>
      <c r="J119" s="739"/>
      <c r="K119" s="739"/>
    </row>
  </sheetData>
  <sheetProtection password="8026" sheet="1" objects="1" scenarios="1"/>
  <mergeCells count="302">
    <mergeCell ref="F83:G83"/>
    <mergeCell ref="F66:I67"/>
    <mergeCell ref="F81:G81"/>
    <mergeCell ref="F82:G82"/>
    <mergeCell ref="H78:I78"/>
    <mergeCell ref="H79:I79"/>
    <mergeCell ref="H80:I80"/>
    <mergeCell ref="H76:I76"/>
    <mergeCell ref="H77:I77"/>
    <mergeCell ref="H81:I81"/>
    <mergeCell ref="K111:K112"/>
    <mergeCell ref="H114:H115"/>
    <mergeCell ref="I114:I115"/>
    <mergeCell ref="J114:J115"/>
    <mergeCell ref="C70:D70"/>
    <mergeCell ref="C74:D74"/>
    <mergeCell ref="F79:G79"/>
    <mergeCell ref="F78:G78"/>
    <mergeCell ref="F76:G76"/>
    <mergeCell ref="F77:G77"/>
    <mergeCell ref="H116:H117"/>
    <mergeCell ref="I116:I117"/>
    <mergeCell ref="J116:J117"/>
    <mergeCell ref="K116:K117"/>
    <mergeCell ref="B117:E117"/>
    <mergeCell ref="J23:J24"/>
    <mergeCell ref="K23:K24"/>
    <mergeCell ref="B115:B116"/>
    <mergeCell ref="C115:E116"/>
    <mergeCell ref="J111:J112"/>
    <mergeCell ref="K114:K115"/>
    <mergeCell ref="J109:J110"/>
    <mergeCell ref="K109:K110"/>
    <mergeCell ref="A111:A112"/>
    <mergeCell ref="B111:B112"/>
    <mergeCell ref="C111:C112"/>
    <mergeCell ref="D111:D112"/>
    <mergeCell ref="E111:E112"/>
    <mergeCell ref="G111:G112"/>
    <mergeCell ref="H111:H112"/>
    <mergeCell ref="I111:I112"/>
    <mergeCell ref="J105:J106"/>
    <mergeCell ref="K105:K106"/>
    <mergeCell ref="A109:A110"/>
    <mergeCell ref="B109:B110"/>
    <mergeCell ref="C109:C110"/>
    <mergeCell ref="D109:D110"/>
    <mergeCell ref="E109:E110"/>
    <mergeCell ref="G109:G110"/>
    <mergeCell ref="H109:H110"/>
    <mergeCell ref="J103:J104"/>
    <mergeCell ref="K103:K104"/>
    <mergeCell ref="A105:A106"/>
    <mergeCell ref="B105:B106"/>
    <mergeCell ref="C105:C106"/>
    <mergeCell ref="D105:D106"/>
    <mergeCell ref="E105:E106"/>
    <mergeCell ref="G105:G106"/>
    <mergeCell ref="H105:H106"/>
    <mergeCell ref="D103:D104"/>
    <mergeCell ref="E103:E104"/>
    <mergeCell ref="G103:G104"/>
    <mergeCell ref="H103:H104"/>
    <mergeCell ref="I103:I104"/>
    <mergeCell ref="I109:I110"/>
    <mergeCell ref="J97:J98"/>
    <mergeCell ref="K97:K98"/>
    <mergeCell ref="I95:I96"/>
    <mergeCell ref="J95:J96"/>
    <mergeCell ref="K95:K96"/>
    <mergeCell ref="I105:I106"/>
    <mergeCell ref="A102:K102"/>
    <mergeCell ref="A103:A104"/>
    <mergeCell ref="B103:B104"/>
    <mergeCell ref="C103:C104"/>
    <mergeCell ref="I90:I91"/>
    <mergeCell ref="A97:A98"/>
    <mergeCell ref="B97:B98"/>
    <mergeCell ref="C97:C98"/>
    <mergeCell ref="D97:D98"/>
    <mergeCell ref="I97:I98"/>
    <mergeCell ref="E95:E96"/>
    <mergeCell ref="G95:G96"/>
    <mergeCell ref="H95:H96"/>
    <mergeCell ref="E97:E98"/>
    <mergeCell ref="G97:G98"/>
    <mergeCell ref="H97:H98"/>
    <mergeCell ref="A95:A96"/>
    <mergeCell ref="B95:B96"/>
    <mergeCell ref="C95:C96"/>
    <mergeCell ref="D95:D96"/>
    <mergeCell ref="K88:K89"/>
    <mergeCell ref="A90:A91"/>
    <mergeCell ref="B90:B91"/>
    <mergeCell ref="C90:C91"/>
    <mergeCell ref="D90:D91"/>
    <mergeCell ref="E90:E91"/>
    <mergeCell ref="G90:G91"/>
    <mergeCell ref="H90:H91"/>
    <mergeCell ref="J90:J91"/>
    <mergeCell ref="K90:K91"/>
    <mergeCell ref="A87:K87"/>
    <mergeCell ref="A88:A89"/>
    <mergeCell ref="B88:B89"/>
    <mergeCell ref="C88:C89"/>
    <mergeCell ref="D88:D89"/>
    <mergeCell ref="E88:E89"/>
    <mergeCell ref="G88:G89"/>
    <mergeCell ref="H88:H89"/>
    <mergeCell ref="I88:I89"/>
    <mergeCell ref="J88:J89"/>
    <mergeCell ref="H61:H62"/>
    <mergeCell ref="I61:I62"/>
    <mergeCell ref="J61:J62"/>
    <mergeCell ref="K61:K62"/>
    <mergeCell ref="C66:C67"/>
    <mergeCell ref="D66:D67"/>
    <mergeCell ref="H59:H60"/>
    <mergeCell ref="I59:I60"/>
    <mergeCell ref="J59:J60"/>
    <mergeCell ref="K59:K60"/>
    <mergeCell ref="A61:A62"/>
    <mergeCell ref="B61:B62"/>
    <mergeCell ref="C61:C62"/>
    <mergeCell ref="D61:D62"/>
    <mergeCell ref="E61:E62"/>
    <mergeCell ref="G61:G62"/>
    <mergeCell ref="H55:H56"/>
    <mergeCell ref="I55:I56"/>
    <mergeCell ref="J55:J56"/>
    <mergeCell ref="K55:K56"/>
    <mergeCell ref="A59:A60"/>
    <mergeCell ref="B59:B60"/>
    <mergeCell ref="C59:C60"/>
    <mergeCell ref="D59:D60"/>
    <mergeCell ref="E59:E60"/>
    <mergeCell ref="G59:G60"/>
    <mergeCell ref="H53:H54"/>
    <mergeCell ref="I53:I54"/>
    <mergeCell ref="J53:J54"/>
    <mergeCell ref="K53:K54"/>
    <mergeCell ref="A55:A56"/>
    <mergeCell ref="B55:B56"/>
    <mergeCell ref="C55:C56"/>
    <mergeCell ref="D55:D56"/>
    <mergeCell ref="E55:E56"/>
    <mergeCell ref="G55:G56"/>
    <mergeCell ref="A53:A54"/>
    <mergeCell ref="B53:B54"/>
    <mergeCell ref="C53:C54"/>
    <mergeCell ref="D53:D54"/>
    <mergeCell ref="E53:E54"/>
    <mergeCell ref="G53:G54"/>
    <mergeCell ref="A51:K51"/>
    <mergeCell ref="I46:I47"/>
    <mergeCell ref="J46:J47"/>
    <mergeCell ref="K46:K47"/>
    <mergeCell ref="E46:E47"/>
    <mergeCell ref="G46:G47"/>
    <mergeCell ref="H46:H47"/>
    <mergeCell ref="A46:A47"/>
    <mergeCell ref="B46:B47"/>
    <mergeCell ref="C46:C47"/>
    <mergeCell ref="I40:I41"/>
    <mergeCell ref="J40:J41"/>
    <mergeCell ref="K40:K41"/>
    <mergeCell ref="D46:D47"/>
    <mergeCell ref="H44:H45"/>
    <mergeCell ref="I44:I45"/>
    <mergeCell ref="E44:E45"/>
    <mergeCell ref="F44:F45"/>
    <mergeCell ref="G44:G45"/>
    <mergeCell ref="A44:A45"/>
    <mergeCell ref="B44:B45"/>
    <mergeCell ref="C44:C45"/>
    <mergeCell ref="D44:D45"/>
    <mergeCell ref="J44:J45"/>
    <mergeCell ref="K44:K45"/>
    <mergeCell ref="I38:I39"/>
    <mergeCell ref="J38:J39"/>
    <mergeCell ref="K38:K39"/>
    <mergeCell ref="A40:A41"/>
    <mergeCell ref="B40:B41"/>
    <mergeCell ref="C40:C41"/>
    <mergeCell ref="D40:D41"/>
    <mergeCell ref="E40:E41"/>
    <mergeCell ref="G40:G41"/>
    <mergeCell ref="H40:H41"/>
    <mergeCell ref="A34:K34"/>
    <mergeCell ref="A35:K35"/>
    <mergeCell ref="A36:K36"/>
    <mergeCell ref="A38:A39"/>
    <mergeCell ref="B38:B39"/>
    <mergeCell ref="C38:C39"/>
    <mergeCell ref="D38:D39"/>
    <mergeCell ref="E38:E39"/>
    <mergeCell ref="G38:G39"/>
    <mergeCell ref="H38:H39"/>
    <mergeCell ref="G25:G26"/>
    <mergeCell ref="J25:J26"/>
    <mergeCell ref="K25:K26"/>
    <mergeCell ref="B27:B28"/>
    <mergeCell ref="C27:C28"/>
    <mergeCell ref="D27:D28"/>
    <mergeCell ref="E27:E28"/>
    <mergeCell ref="H23:H24"/>
    <mergeCell ref="I23:I24"/>
    <mergeCell ref="A27:A28"/>
    <mergeCell ref="H25:H26"/>
    <mergeCell ref="I25:I26"/>
    <mergeCell ref="A25:A26"/>
    <mergeCell ref="B25:B26"/>
    <mergeCell ref="C25:C26"/>
    <mergeCell ref="D25:D26"/>
    <mergeCell ref="E25:E26"/>
    <mergeCell ref="H21:H22"/>
    <mergeCell ref="I21:I22"/>
    <mergeCell ref="J21:J22"/>
    <mergeCell ref="K21:K22"/>
    <mergeCell ref="A23:A24"/>
    <mergeCell ref="B23:B24"/>
    <mergeCell ref="C23:C24"/>
    <mergeCell ref="D23:D24"/>
    <mergeCell ref="E23:E24"/>
    <mergeCell ref="G23:G24"/>
    <mergeCell ref="H19:H20"/>
    <mergeCell ref="I19:I20"/>
    <mergeCell ref="J19:J20"/>
    <mergeCell ref="K19:K20"/>
    <mergeCell ref="A21:A22"/>
    <mergeCell ref="B21:B22"/>
    <mergeCell ref="C21:C22"/>
    <mergeCell ref="D21:D22"/>
    <mergeCell ref="E21:E22"/>
    <mergeCell ref="G21:G22"/>
    <mergeCell ref="A19:A20"/>
    <mergeCell ref="B19:B20"/>
    <mergeCell ref="C19:C20"/>
    <mergeCell ref="D19:D20"/>
    <mergeCell ref="E19:E20"/>
    <mergeCell ref="G19:G20"/>
    <mergeCell ref="J17:J18"/>
    <mergeCell ref="K17:K18"/>
    <mergeCell ref="J14:J15"/>
    <mergeCell ref="K14:K15"/>
    <mergeCell ref="A17:E18"/>
    <mergeCell ref="G17:G18"/>
    <mergeCell ref="H17:H18"/>
    <mergeCell ref="I17:I18"/>
    <mergeCell ref="C14:C15"/>
    <mergeCell ref="J12:J13"/>
    <mergeCell ref="K12:K13"/>
    <mergeCell ref="A14:A15"/>
    <mergeCell ref="B14:B15"/>
    <mergeCell ref="C12:C13"/>
    <mergeCell ref="D14:D15"/>
    <mergeCell ref="E14:E15"/>
    <mergeCell ref="G14:G15"/>
    <mergeCell ref="H14:H15"/>
    <mergeCell ref="A12:A13"/>
    <mergeCell ref="B12:B13"/>
    <mergeCell ref="D12:D13"/>
    <mergeCell ref="E12:E13"/>
    <mergeCell ref="G12:G13"/>
    <mergeCell ref="H12:H13"/>
    <mergeCell ref="G10:G11"/>
    <mergeCell ref="H10:H11"/>
    <mergeCell ref="I10:I11"/>
    <mergeCell ref="I14:I15"/>
    <mergeCell ref="J10:J11"/>
    <mergeCell ref="K10:K11"/>
    <mergeCell ref="I12:I13"/>
    <mergeCell ref="G8:G9"/>
    <mergeCell ref="H8:H9"/>
    <mergeCell ref="I8:I9"/>
    <mergeCell ref="J8:J9"/>
    <mergeCell ref="K8:K9"/>
    <mergeCell ref="A10:A11"/>
    <mergeCell ref="B10:B11"/>
    <mergeCell ref="C10:C11"/>
    <mergeCell ref="D10:D11"/>
    <mergeCell ref="E10:E11"/>
    <mergeCell ref="G6:G7"/>
    <mergeCell ref="H6:H7"/>
    <mergeCell ref="I6:I7"/>
    <mergeCell ref="J6:J7"/>
    <mergeCell ref="K6:K7"/>
    <mergeCell ref="A8:A9"/>
    <mergeCell ref="B8:B9"/>
    <mergeCell ref="C8:C9"/>
    <mergeCell ref="D8:D9"/>
    <mergeCell ref="E8:E9"/>
    <mergeCell ref="A119:K119"/>
    <mergeCell ref="A1:K1"/>
    <mergeCell ref="A2:K2"/>
    <mergeCell ref="A4:E5"/>
    <mergeCell ref="G4:K5"/>
    <mergeCell ref="A6:A7"/>
    <mergeCell ref="B6:B7"/>
    <mergeCell ref="C6:C7"/>
    <mergeCell ref="D6:D7"/>
    <mergeCell ref="E6:E7"/>
  </mergeCells>
  <phoneticPr fontId="0" type="noConversion"/>
  <hyperlinks>
    <hyperlink ref="A119:K119" location="ENTRAINEMENT!A1" display="Retour page ENTRAINEMENT"/>
  </hyperlinks>
  <pageMargins left="0.78740157499999996" right="0.78740157499999996" top="0.984251969" bottom="0.984251969" header="0.4921259845" footer="0.4921259845"/>
  <pageSetup paperSize="9" scale="90" orientation="landscape" horizontalDpi="4294967294" verticalDpi="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sheetPr codeName="Feuil5"/>
  <dimension ref="A1:N166"/>
  <sheetViews>
    <sheetView zoomScale="75" workbookViewId="0">
      <selection activeCell="A166" sqref="A166:K166"/>
    </sheetView>
  </sheetViews>
  <sheetFormatPr baseColWidth="10" defaultRowHeight="15.75"/>
  <cols>
    <col min="1" max="1" width="9" bestFit="1" customWidth="1"/>
    <col min="2" max="2" width="13.75" bestFit="1" customWidth="1"/>
    <col min="4" max="4" width="13.125" customWidth="1"/>
    <col min="5" max="5" width="11.75" customWidth="1"/>
    <col min="6" max="6" width="13" bestFit="1" customWidth="1"/>
    <col min="10" max="10" width="11.875" customWidth="1"/>
    <col min="11" max="11" width="11.625" customWidth="1"/>
  </cols>
  <sheetData>
    <row r="1" spans="1:11" ht="18.75">
      <c r="A1" s="740" t="s">
        <v>523</v>
      </c>
      <c r="B1" s="741"/>
      <c r="C1" s="741"/>
      <c r="D1" s="741"/>
      <c r="E1" s="741"/>
      <c r="F1" s="741"/>
      <c r="G1" s="741"/>
      <c r="H1" s="741"/>
      <c r="I1" s="741"/>
      <c r="J1" s="741"/>
      <c r="K1" s="742"/>
    </row>
    <row r="2" spans="1:11" ht="18.75">
      <c r="A2" s="743" t="s">
        <v>609</v>
      </c>
      <c r="B2" s="744"/>
      <c r="C2" s="744"/>
      <c r="D2" s="744"/>
      <c r="E2" s="744"/>
      <c r="F2" s="744"/>
      <c r="G2" s="744"/>
      <c r="H2" s="744"/>
      <c r="I2" s="744"/>
      <c r="J2" s="744"/>
      <c r="K2" s="745"/>
    </row>
    <row r="4" spans="1:11">
      <c r="A4" s="746" t="s">
        <v>525</v>
      </c>
      <c r="B4" s="747"/>
      <c r="C4" s="747"/>
      <c r="D4" s="747"/>
      <c r="E4" s="748"/>
      <c r="G4" s="746" t="s">
        <v>526</v>
      </c>
      <c r="H4" s="747"/>
      <c r="I4" s="747"/>
      <c r="J4" s="747"/>
      <c r="K4" s="748"/>
    </row>
    <row r="5" spans="1:11">
      <c r="A5" s="749"/>
      <c r="B5" s="750"/>
      <c r="C5" s="750"/>
      <c r="D5" s="750"/>
      <c r="E5" s="751"/>
      <c r="G5" s="749"/>
      <c r="H5" s="750"/>
      <c r="I5" s="750"/>
      <c r="J5" s="750"/>
      <c r="K5" s="751"/>
    </row>
    <row r="6" spans="1:11">
      <c r="A6" s="752" t="s">
        <v>527</v>
      </c>
      <c r="B6" s="752" t="s">
        <v>505</v>
      </c>
      <c r="C6" s="752" t="s">
        <v>528</v>
      </c>
      <c r="D6" s="752" t="s">
        <v>529</v>
      </c>
      <c r="E6" s="752" t="s">
        <v>530</v>
      </c>
      <c r="G6" s="752" t="s">
        <v>531</v>
      </c>
      <c r="H6" s="752" t="s">
        <v>505</v>
      </c>
      <c r="I6" s="752" t="s">
        <v>528</v>
      </c>
      <c r="J6" s="752" t="s">
        <v>529</v>
      </c>
      <c r="K6" s="752" t="s">
        <v>530</v>
      </c>
    </row>
    <row r="7" spans="1:11" ht="0.75" customHeight="1">
      <c r="A7" s="753"/>
      <c r="B7" s="753"/>
      <c r="C7" s="753"/>
      <c r="D7" s="753"/>
      <c r="E7" s="753"/>
      <c r="G7" s="753"/>
      <c r="H7" s="753"/>
      <c r="I7" s="753"/>
      <c r="J7" s="753"/>
      <c r="K7" s="753"/>
    </row>
    <row r="8" spans="1:11">
      <c r="A8" s="754" t="s">
        <v>532</v>
      </c>
      <c r="B8" s="756" t="s">
        <v>28</v>
      </c>
      <c r="C8" s="756" t="s">
        <v>33</v>
      </c>
      <c r="D8" s="756" t="s">
        <v>33</v>
      </c>
      <c r="E8" s="756" t="s">
        <v>33</v>
      </c>
      <c r="G8" s="754" t="s">
        <v>532</v>
      </c>
      <c r="H8" s="756" t="s">
        <v>33</v>
      </c>
      <c r="I8" s="756" t="s">
        <v>33</v>
      </c>
      <c r="J8" s="756" t="s">
        <v>33</v>
      </c>
      <c r="K8" s="756" t="s">
        <v>33</v>
      </c>
    </row>
    <row r="9" spans="1:11">
      <c r="A9" s="755"/>
      <c r="B9" s="757"/>
      <c r="C9" s="757"/>
      <c r="D9" s="757"/>
      <c r="E9" s="757"/>
      <c r="G9" s="755"/>
      <c r="H9" s="757"/>
      <c r="I9" s="757"/>
      <c r="J9" s="757"/>
      <c r="K9" s="757"/>
    </row>
    <row r="10" spans="1:11">
      <c r="A10" s="754" t="s">
        <v>533</v>
      </c>
      <c r="B10" s="756" t="s">
        <v>33</v>
      </c>
      <c r="C10" s="756" t="s">
        <v>28</v>
      </c>
      <c r="D10" s="756" t="s">
        <v>28</v>
      </c>
      <c r="E10" s="756" t="s">
        <v>10</v>
      </c>
      <c r="G10" s="754" t="s">
        <v>533</v>
      </c>
      <c r="H10" s="756" t="s">
        <v>10</v>
      </c>
      <c r="I10" s="756" t="s">
        <v>10</v>
      </c>
      <c r="J10" s="756" t="s">
        <v>10</v>
      </c>
      <c r="K10" s="756" t="s">
        <v>10</v>
      </c>
    </row>
    <row r="11" spans="1:11">
      <c r="A11" s="755"/>
      <c r="B11" s="757"/>
      <c r="C11" s="757"/>
      <c r="D11" s="757"/>
      <c r="E11" s="757"/>
      <c r="G11" s="755"/>
      <c r="H11" s="757"/>
      <c r="I11" s="757"/>
      <c r="J11" s="757"/>
      <c r="K11" s="757"/>
    </row>
    <row r="12" spans="1:11">
      <c r="A12" s="754" t="s">
        <v>535</v>
      </c>
      <c r="B12" s="756" t="s">
        <v>28</v>
      </c>
      <c r="C12" s="756" t="s">
        <v>33</v>
      </c>
      <c r="D12" s="756" t="s">
        <v>33</v>
      </c>
      <c r="E12" s="756" t="s">
        <v>33</v>
      </c>
      <c r="G12" s="754" t="s">
        <v>535</v>
      </c>
      <c r="H12" s="756" t="s">
        <v>33</v>
      </c>
      <c r="I12" s="756" t="s">
        <v>33</v>
      </c>
      <c r="J12" s="756" t="s">
        <v>33</v>
      </c>
      <c r="K12" s="756" t="s">
        <v>33</v>
      </c>
    </row>
    <row r="13" spans="1:11">
      <c r="A13" s="755"/>
      <c r="B13" s="757"/>
      <c r="C13" s="757"/>
      <c r="D13" s="757"/>
      <c r="E13" s="757"/>
      <c r="G13" s="755"/>
      <c r="H13" s="757"/>
      <c r="I13" s="757"/>
      <c r="J13" s="757"/>
      <c r="K13" s="757"/>
    </row>
    <row r="14" spans="1:11">
      <c r="A14" s="754" t="s">
        <v>595</v>
      </c>
      <c r="B14" s="756" t="s">
        <v>534</v>
      </c>
      <c r="C14" s="756" t="s">
        <v>534</v>
      </c>
      <c r="D14" s="756" t="s">
        <v>10</v>
      </c>
      <c r="E14" s="756" t="s">
        <v>28</v>
      </c>
      <c r="G14" s="754" t="s">
        <v>595</v>
      </c>
      <c r="H14" s="756" t="s">
        <v>534</v>
      </c>
      <c r="I14" s="756" t="s">
        <v>534</v>
      </c>
      <c r="J14" s="756" t="s">
        <v>10</v>
      </c>
      <c r="K14" s="756" t="s">
        <v>33</v>
      </c>
    </row>
    <row r="15" spans="1:11">
      <c r="A15" s="755"/>
      <c r="B15" s="757"/>
      <c r="C15" s="757"/>
      <c r="D15" s="757"/>
      <c r="E15" s="757"/>
      <c r="G15" s="755"/>
      <c r="H15" s="757"/>
      <c r="I15" s="757"/>
      <c r="J15" s="757"/>
      <c r="K15" s="757"/>
    </row>
    <row r="16" spans="1:11">
      <c r="A16" s="754" t="s">
        <v>610</v>
      </c>
      <c r="B16" s="756" t="s">
        <v>28</v>
      </c>
      <c r="C16" s="756" t="s">
        <v>28</v>
      </c>
      <c r="D16" s="756" t="s">
        <v>33</v>
      </c>
      <c r="E16" s="756" t="s">
        <v>33</v>
      </c>
      <c r="G16" s="754" t="s">
        <v>610</v>
      </c>
      <c r="H16" s="756" t="s">
        <v>33</v>
      </c>
      <c r="I16" s="756" t="s">
        <v>33</v>
      </c>
      <c r="J16" s="756" t="s">
        <v>33</v>
      </c>
      <c r="K16" s="756" t="s">
        <v>33</v>
      </c>
    </row>
    <row r="17" spans="1:11">
      <c r="A17" s="755"/>
      <c r="B17" s="757"/>
      <c r="C17" s="757"/>
      <c r="D17" s="757"/>
      <c r="E17" s="757"/>
      <c r="G17" s="755"/>
      <c r="H17" s="757"/>
      <c r="I17" s="757"/>
      <c r="J17" s="757"/>
      <c r="K17" s="757"/>
    </row>
    <row r="18" spans="1:11">
      <c r="G18" s="260"/>
      <c r="H18" s="261"/>
      <c r="I18" s="261"/>
      <c r="J18" s="261"/>
      <c r="K18" s="262"/>
    </row>
    <row r="19" spans="1:11">
      <c r="A19" s="746" t="s">
        <v>536</v>
      </c>
      <c r="B19" s="747"/>
      <c r="C19" s="747"/>
      <c r="D19" s="747"/>
      <c r="E19" s="748"/>
      <c r="G19" s="758" t="s">
        <v>537</v>
      </c>
      <c r="H19" s="758" t="s">
        <v>505</v>
      </c>
      <c r="I19" s="758" t="s">
        <v>528</v>
      </c>
      <c r="J19" s="758" t="s">
        <v>529</v>
      </c>
      <c r="K19" s="758" t="s">
        <v>530</v>
      </c>
    </row>
    <row r="20" spans="1:11">
      <c r="A20" s="749"/>
      <c r="B20" s="750"/>
      <c r="C20" s="750"/>
      <c r="D20" s="750"/>
      <c r="E20" s="751"/>
      <c r="G20" s="759"/>
      <c r="H20" s="759"/>
      <c r="I20" s="759"/>
      <c r="J20" s="759"/>
      <c r="K20" s="759"/>
    </row>
    <row r="21" spans="1:11">
      <c r="A21" s="758" t="s">
        <v>531</v>
      </c>
      <c r="B21" s="758" t="s">
        <v>505</v>
      </c>
      <c r="C21" s="758" t="s">
        <v>528</v>
      </c>
      <c r="D21" s="758" t="s">
        <v>529</v>
      </c>
      <c r="E21" s="758" t="s">
        <v>530</v>
      </c>
      <c r="G21" s="754" t="s">
        <v>532</v>
      </c>
      <c r="H21" s="756" t="s">
        <v>33</v>
      </c>
      <c r="I21" s="756" t="s">
        <v>33</v>
      </c>
      <c r="J21" s="756" t="s">
        <v>33</v>
      </c>
      <c r="K21" s="756" t="s">
        <v>33</v>
      </c>
    </row>
    <row r="22" spans="1:11">
      <c r="A22" s="759"/>
      <c r="B22" s="759"/>
      <c r="C22" s="759"/>
      <c r="D22" s="759"/>
      <c r="E22" s="759"/>
      <c r="G22" s="755"/>
      <c r="H22" s="757"/>
      <c r="I22" s="757"/>
      <c r="J22" s="757"/>
      <c r="K22" s="757"/>
    </row>
    <row r="23" spans="1:11">
      <c r="A23" s="754" t="s">
        <v>532</v>
      </c>
      <c r="B23" s="756" t="s">
        <v>26</v>
      </c>
      <c r="C23" s="756" t="s">
        <v>26</v>
      </c>
      <c r="D23" s="756" t="s">
        <v>26</v>
      </c>
      <c r="E23" s="756" t="s">
        <v>26</v>
      </c>
      <c r="G23" s="754" t="s">
        <v>533</v>
      </c>
      <c r="H23" s="756" t="s">
        <v>10</v>
      </c>
      <c r="I23" s="756" t="s">
        <v>10</v>
      </c>
      <c r="J23" s="756" t="s">
        <v>10</v>
      </c>
      <c r="K23" s="756" t="s">
        <v>26</v>
      </c>
    </row>
    <row r="24" spans="1:11">
      <c r="A24" s="755"/>
      <c r="B24" s="757"/>
      <c r="C24" s="757"/>
      <c r="D24" s="757"/>
      <c r="E24" s="757"/>
      <c r="G24" s="755"/>
      <c r="H24" s="757"/>
      <c r="I24" s="757"/>
      <c r="J24" s="757"/>
      <c r="K24" s="757"/>
    </row>
    <row r="25" spans="1:11">
      <c r="A25" s="754" t="s">
        <v>533</v>
      </c>
      <c r="B25" s="756" t="s">
        <v>33</v>
      </c>
      <c r="C25" s="756" t="s">
        <v>33</v>
      </c>
      <c r="D25" s="756" t="s">
        <v>33</v>
      </c>
      <c r="E25" s="756" t="s">
        <v>534</v>
      </c>
      <c r="G25" s="754" t="s">
        <v>535</v>
      </c>
      <c r="H25" s="756" t="s">
        <v>33</v>
      </c>
      <c r="I25" s="756" t="s">
        <v>33</v>
      </c>
      <c r="J25" s="756" t="s">
        <v>33</v>
      </c>
      <c r="K25" s="756" t="s">
        <v>33</v>
      </c>
    </row>
    <row r="26" spans="1:11">
      <c r="A26" s="755"/>
      <c r="B26" s="757"/>
      <c r="C26" s="757"/>
      <c r="D26" s="757"/>
      <c r="E26" s="757"/>
      <c r="G26" s="755"/>
      <c r="H26" s="757"/>
      <c r="I26" s="757"/>
      <c r="J26" s="757"/>
      <c r="K26" s="757"/>
    </row>
    <row r="27" spans="1:11">
      <c r="A27" s="754" t="s">
        <v>535</v>
      </c>
      <c r="B27" s="756" t="s">
        <v>26</v>
      </c>
      <c r="C27" s="756" t="s">
        <v>534</v>
      </c>
      <c r="D27" s="756" t="s">
        <v>26</v>
      </c>
      <c r="E27" s="756" t="s">
        <v>33</v>
      </c>
      <c r="G27" s="754" t="s">
        <v>595</v>
      </c>
      <c r="H27" s="756" t="s">
        <v>534</v>
      </c>
      <c r="I27" s="756" t="s">
        <v>534</v>
      </c>
      <c r="J27" s="756" t="s">
        <v>534</v>
      </c>
      <c r="K27" s="756" t="s">
        <v>534</v>
      </c>
    </row>
    <row r="28" spans="1:11">
      <c r="A28" s="755"/>
      <c r="B28" s="757"/>
      <c r="C28" s="757"/>
      <c r="D28" s="757"/>
      <c r="E28" s="757"/>
      <c r="G28" s="755"/>
      <c r="H28" s="757"/>
      <c r="I28" s="757"/>
      <c r="J28" s="757"/>
      <c r="K28" s="757"/>
    </row>
    <row r="29" spans="1:11">
      <c r="A29" s="754" t="s">
        <v>595</v>
      </c>
      <c r="B29" s="756" t="s">
        <v>33</v>
      </c>
      <c r="C29" s="756" t="s">
        <v>33</v>
      </c>
      <c r="D29" s="756" t="s">
        <v>33</v>
      </c>
      <c r="E29" s="756" t="s">
        <v>534</v>
      </c>
      <c r="G29" s="754" t="s">
        <v>610</v>
      </c>
      <c r="H29" s="756" t="s">
        <v>10</v>
      </c>
      <c r="I29" s="756" t="s">
        <v>26</v>
      </c>
      <c r="J29" s="756" t="s">
        <v>26</v>
      </c>
      <c r="K29" s="756" t="s">
        <v>33</v>
      </c>
    </row>
    <row r="30" spans="1:11">
      <c r="A30" s="755"/>
      <c r="B30" s="757"/>
      <c r="C30" s="757"/>
      <c r="D30" s="757"/>
      <c r="E30" s="757"/>
      <c r="G30" s="755"/>
      <c r="H30" s="757"/>
      <c r="I30" s="757"/>
      <c r="J30" s="757"/>
      <c r="K30" s="757"/>
    </row>
    <row r="31" spans="1:11">
      <c r="A31" s="754" t="s">
        <v>610</v>
      </c>
      <c r="B31" s="756" t="s">
        <v>10</v>
      </c>
      <c r="C31" s="756" t="s">
        <v>26</v>
      </c>
      <c r="D31" s="756" t="s">
        <v>10</v>
      </c>
      <c r="E31" s="756" t="s">
        <v>26</v>
      </c>
    </row>
    <row r="32" spans="1:11">
      <c r="A32" s="755"/>
      <c r="B32" s="757"/>
      <c r="C32" s="757"/>
      <c r="D32" s="757"/>
      <c r="E32" s="757"/>
    </row>
    <row r="33" spans="1:11">
      <c r="A33" s="761" t="s">
        <v>539</v>
      </c>
      <c r="B33" s="762"/>
      <c r="C33" s="762"/>
      <c r="D33" s="762"/>
      <c r="E33" s="762"/>
      <c r="F33" s="762"/>
      <c r="G33" s="762"/>
      <c r="H33" s="762"/>
      <c r="I33" s="762"/>
      <c r="J33" s="762"/>
      <c r="K33" s="763"/>
    </row>
    <row r="34" spans="1:11">
      <c r="A34" s="764" t="s">
        <v>611</v>
      </c>
      <c r="B34" s="764"/>
      <c r="C34" s="764"/>
      <c r="D34" s="764"/>
      <c r="E34" s="764"/>
      <c r="F34" s="764"/>
      <c r="G34" s="764"/>
      <c r="H34" s="764"/>
      <c r="I34" s="764"/>
      <c r="J34" s="764"/>
      <c r="K34" s="764"/>
    </row>
    <row r="36" spans="1:11">
      <c r="A36" s="765" t="s">
        <v>505</v>
      </c>
      <c r="B36" s="766"/>
      <c r="C36" s="766"/>
      <c r="D36" s="766"/>
      <c r="E36" s="766"/>
      <c r="F36" s="766"/>
      <c r="G36" s="766"/>
      <c r="H36" s="766"/>
      <c r="I36" s="766"/>
      <c r="J36" s="766"/>
      <c r="K36" s="767"/>
    </row>
    <row r="37" spans="1:11">
      <c r="A37" s="265"/>
      <c r="B37" s="5"/>
      <c r="C37" s="5"/>
      <c r="D37" s="5"/>
      <c r="E37" s="5"/>
      <c r="F37" s="5"/>
      <c r="G37" s="5"/>
      <c r="H37" s="5"/>
      <c r="I37" s="5"/>
      <c r="J37" s="5"/>
      <c r="K37" s="266"/>
    </row>
    <row r="38" spans="1:11">
      <c r="A38" s="768" t="s">
        <v>541</v>
      </c>
      <c r="B38" s="769" t="s">
        <v>542</v>
      </c>
      <c r="C38" s="770" t="s">
        <v>543</v>
      </c>
      <c r="D38" s="770" t="s">
        <v>544</v>
      </c>
      <c r="E38" s="771" t="s">
        <v>517</v>
      </c>
      <c r="F38" s="5"/>
      <c r="G38" s="768" t="s">
        <v>545</v>
      </c>
      <c r="H38" s="769" t="s">
        <v>558</v>
      </c>
      <c r="I38" s="770" t="s">
        <v>559</v>
      </c>
      <c r="J38" s="770" t="s">
        <v>544</v>
      </c>
      <c r="K38" s="771" t="s">
        <v>517</v>
      </c>
    </row>
    <row r="39" spans="1:11">
      <c r="A39" s="768"/>
      <c r="B39" s="769"/>
      <c r="C39" s="770"/>
      <c r="D39" s="770"/>
      <c r="E39" s="771"/>
      <c r="F39" s="5"/>
      <c r="G39" s="768"/>
      <c r="H39" s="769"/>
      <c r="I39" s="770"/>
      <c r="J39" s="770"/>
      <c r="K39" s="771"/>
    </row>
    <row r="40" spans="1:11" ht="15.75" customHeight="1">
      <c r="A40" s="774" t="s">
        <v>2</v>
      </c>
      <c r="B40" s="775" t="s">
        <v>548</v>
      </c>
      <c r="C40" s="776">
        <v>6</v>
      </c>
      <c r="D40" s="778">
        <f>(C40*Programme!F51)</f>
        <v>1.7853731489585155E-2</v>
      </c>
      <c r="E40" s="780">
        <f>Programme!C48</f>
        <v>163.30779906542057</v>
      </c>
      <c r="F40" s="148"/>
      <c r="G40" s="909" t="s">
        <v>2</v>
      </c>
      <c r="H40" s="906" t="s">
        <v>597</v>
      </c>
      <c r="I40" s="908" t="s">
        <v>598</v>
      </c>
      <c r="J40" s="778">
        <f>Programme!C84</f>
        <v>5.2914285714285711E-3</v>
      </c>
      <c r="K40" s="780">
        <f>Programme!F59</f>
        <v>175.14559813084111</v>
      </c>
    </row>
    <row r="41" spans="1:11" ht="15.75" customHeight="1">
      <c r="A41" s="774"/>
      <c r="B41" s="775"/>
      <c r="C41" s="777"/>
      <c r="D41" s="785"/>
      <c r="E41" s="781"/>
      <c r="F41" s="148"/>
      <c r="G41" s="909"/>
      <c r="H41" s="906"/>
      <c r="I41" s="908"/>
      <c r="J41" s="788"/>
      <c r="K41" s="781"/>
    </row>
    <row r="42" spans="1:11" ht="18.75">
      <c r="A42" s="267"/>
      <c r="B42" s="268">
        <f>Programme!F51</f>
        <v>2.9756219149308593E-3</v>
      </c>
      <c r="C42" s="269" t="s">
        <v>551</v>
      </c>
      <c r="D42" s="357"/>
      <c r="E42" s="405"/>
      <c r="F42" s="148"/>
      <c r="G42" s="406"/>
      <c r="H42" s="407"/>
      <c r="I42" s="408"/>
      <c r="J42" s="284"/>
      <c r="K42" s="401"/>
    </row>
    <row r="43" spans="1:11" ht="18.75">
      <c r="A43" s="267"/>
      <c r="B43" s="407"/>
      <c r="C43" s="270"/>
      <c r="D43" s="270"/>
      <c r="E43" s="271"/>
      <c r="F43" s="5"/>
      <c r="G43" s="5"/>
      <c r="H43" s="5"/>
      <c r="I43" s="5"/>
      <c r="J43" s="5"/>
      <c r="K43" s="266"/>
    </row>
    <row r="44" spans="1:11">
      <c r="A44" s="768" t="s">
        <v>552</v>
      </c>
      <c r="B44" s="907" t="s">
        <v>33</v>
      </c>
      <c r="C44" s="770" t="s">
        <v>47</v>
      </c>
      <c r="D44" s="770" t="s">
        <v>553</v>
      </c>
      <c r="E44" s="770" t="s">
        <v>544</v>
      </c>
      <c r="G44" s="768" t="s">
        <v>563</v>
      </c>
      <c r="H44" s="769" t="s">
        <v>10</v>
      </c>
      <c r="I44" s="772" t="s">
        <v>546</v>
      </c>
      <c r="J44" s="773" t="s">
        <v>547</v>
      </c>
      <c r="K44" s="771" t="s">
        <v>517</v>
      </c>
    </row>
    <row r="45" spans="1:11">
      <c r="A45" s="768"/>
      <c r="B45" s="907"/>
      <c r="C45" s="770"/>
      <c r="D45" s="770"/>
      <c r="E45" s="770"/>
      <c r="F45" s="259"/>
      <c r="G45" s="768"/>
      <c r="H45" s="769"/>
      <c r="I45" s="772"/>
      <c r="J45" s="773"/>
      <c r="K45" s="771"/>
    </row>
    <row r="46" spans="1:11" ht="15.75" customHeight="1">
      <c r="A46" s="774" t="s">
        <v>2</v>
      </c>
      <c r="B46" s="906" t="s">
        <v>554</v>
      </c>
      <c r="C46" s="784">
        <v>0.7</v>
      </c>
      <c r="D46" s="786">
        <v>8</v>
      </c>
      <c r="E46" s="778">
        <f>B48 *D46</f>
        <v>2.7205288284979798E-2</v>
      </c>
      <c r="F46" s="245"/>
      <c r="G46" s="774" t="s">
        <v>2</v>
      </c>
      <c r="H46" s="775" t="s">
        <v>549</v>
      </c>
      <c r="I46" s="782" t="s">
        <v>550</v>
      </c>
      <c r="J46" s="778">
        <f>Programme!C70</f>
        <v>1.1255768979914311E-3</v>
      </c>
      <c r="K46" s="780">
        <f>Programme!F58</f>
        <v>187</v>
      </c>
    </row>
    <row r="47" spans="1:11" ht="16.5" customHeight="1">
      <c r="A47" s="774"/>
      <c r="B47" s="906"/>
      <c r="C47" s="785"/>
      <c r="D47" s="787"/>
      <c r="E47" s="788"/>
      <c r="F47" s="347"/>
      <c r="G47" s="774"/>
      <c r="H47" s="775"/>
      <c r="I47" s="782"/>
      <c r="J47" s="788"/>
      <c r="K47" s="781"/>
    </row>
    <row r="48" spans="1:11" ht="19.5">
      <c r="A48" s="265"/>
      <c r="B48" s="268">
        <f>Programme!C102</f>
        <v>3.4006610356224747E-3</v>
      </c>
      <c r="C48" s="269" t="s">
        <v>551</v>
      </c>
      <c r="D48" s="278" t="s">
        <v>555</v>
      </c>
      <c r="E48" s="363">
        <f>Programme!F62</f>
        <v>151.47</v>
      </c>
      <c r="F48" s="5"/>
      <c r="G48" s="5"/>
      <c r="H48" s="5"/>
      <c r="I48" s="5"/>
      <c r="J48" s="148"/>
      <c r="K48" s="400"/>
    </row>
    <row r="49" spans="1:11" ht="18.75">
      <c r="A49" s="265"/>
      <c r="B49" s="148"/>
      <c r="C49" s="5"/>
      <c r="D49" s="5"/>
      <c r="E49" s="390"/>
      <c r="F49" s="5"/>
      <c r="G49" s="5"/>
      <c r="H49" s="5"/>
      <c r="I49" s="5"/>
      <c r="J49" s="148"/>
      <c r="K49" s="400"/>
    </row>
    <row r="50" spans="1:11">
      <c r="A50" s="768" t="s">
        <v>602</v>
      </c>
      <c r="B50" s="907" t="s">
        <v>33</v>
      </c>
      <c r="C50" s="770" t="s">
        <v>47</v>
      </c>
      <c r="D50" s="770" t="s">
        <v>553</v>
      </c>
      <c r="E50" s="839" t="s">
        <v>544</v>
      </c>
      <c r="F50" s="259"/>
      <c r="G50" s="768" t="s">
        <v>612</v>
      </c>
      <c r="H50" s="769" t="s">
        <v>542</v>
      </c>
      <c r="I50" s="770" t="s">
        <v>543</v>
      </c>
      <c r="J50" s="839" t="s">
        <v>544</v>
      </c>
      <c r="K50" s="840" t="s">
        <v>517</v>
      </c>
    </row>
    <row r="51" spans="1:11">
      <c r="A51" s="768"/>
      <c r="B51" s="907"/>
      <c r="C51" s="770"/>
      <c r="D51" s="770"/>
      <c r="E51" s="839"/>
      <c r="F51" s="259"/>
      <c r="G51" s="768"/>
      <c r="H51" s="769"/>
      <c r="I51" s="770"/>
      <c r="J51" s="839"/>
      <c r="K51" s="840"/>
    </row>
    <row r="52" spans="1:11" ht="18.75">
      <c r="A52" s="774" t="s">
        <v>2</v>
      </c>
      <c r="B52" s="906" t="s">
        <v>554</v>
      </c>
      <c r="C52" s="784">
        <v>0.7</v>
      </c>
      <c r="D52" s="786">
        <v>10</v>
      </c>
      <c r="E52" s="778">
        <f>B54 *D52</f>
        <v>3.4006610356224751E-2</v>
      </c>
      <c r="F52" s="345"/>
      <c r="G52" s="774" t="s">
        <v>2</v>
      </c>
      <c r="H52" s="775" t="s">
        <v>548</v>
      </c>
      <c r="I52" s="776">
        <v>6</v>
      </c>
      <c r="J52" s="778">
        <f>(C40*Programme!F51)</f>
        <v>1.7853731489585155E-2</v>
      </c>
      <c r="K52" s="780">
        <f>Programme!C48</f>
        <v>163.30779906542057</v>
      </c>
    </row>
    <row r="53" spans="1:11" ht="18.75">
      <c r="A53" s="774"/>
      <c r="B53" s="906"/>
      <c r="C53" s="785"/>
      <c r="D53" s="787"/>
      <c r="E53" s="788"/>
      <c r="F53" s="347"/>
      <c r="G53" s="774"/>
      <c r="H53" s="775"/>
      <c r="I53" s="777"/>
      <c r="J53" s="785"/>
      <c r="K53" s="781"/>
    </row>
    <row r="54" spans="1:11" ht="19.5">
      <c r="A54" s="265"/>
      <c r="B54" s="268">
        <f>Programme!C102</f>
        <v>3.4006610356224747E-3</v>
      </c>
      <c r="C54" s="269" t="s">
        <v>551</v>
      </c>
      <c r="D54" s="278" t="s">
        <v>555</v>
      </c>
      <c r="E54" s="363">
        <f>Programme!F62</f>
        <v>151.47</v>
      </c>
      <c r="F54" s="5"/>
      <c r="G54" s="5"/>
      <c r="H54" s="5"/>
      <c r="I54" s="5"/>
      <c r="J54" s="5"/>
      <c r="K54" s="266"/>
    </row>
    <row r="55" spans="1:11">
      <c r="A55" s="279"/>
      <c r="B55" s="9"/>
      <c r="C55" s="9"/>
      <c r="D55" s="9"/>
      <c r="E55" s="9"/>
      <c r="F55" s="9"/>
      <c r="G55" s="9"/>
      <c r="H55" s="9"/>
      <c r="I55" s="9"/>
      <c r="J55" s="9"/>
      <c r="K55" s="280"/>
    </row>
    <row r="56" spans="1:11">
      <c r="A56" s="5"/>
      <c r="B56" s="5"/>
      <c r="C56" s="5"/>
      <c r="D56" s="5"/>
      <c r="E56" s="5"/>
      <c r="F56" s="5"/>
      <c r="G56" s="5"/>
      <c r="H56" s="5"/>
      <c r="I56" s="5"/>
      <c r="J56" s="5"/>
      <c r="K56" s="5"/>
    </row>
    <row r="57" spans="1:11">
      <c r="A57" s="5"/>
      <c r="B57" s="5"/>
      <c r="C57" s="5"/>
      <c r="D57" s="5"/>
      <c r="E57" s="5"/>
      <c r="F57" s="5"/>
      <c r="G57" s="5"/>
      <c r="H57" s="5"/>
      <c r="I57" s="5"/>
      <c r="J57" s="5"/>
      <c r="K57" s="5"/>
    </row>
    <row r="58" spans="1:11">
      <c r="A58" s="5"/>
      <c r="B58" s="5"/>
      <c r="C58" s="5"/>
      <c r="D58" s="5"/>
      <c r="E58" s="5"/>
      <c r="F58" s="5"/>
      <c r="G58" s="5"/>
      <c r="H58" s="5"/>
      <c r="I58" s="5"/>
      <c r="J58" s="5"/>
      <c r="K58" s="5"/>
    </row>
    <row r="59" spans="1:11">
      <c r="A59" s="5"/>
      <c r="B59" s="5"/>
      <c r="C59" s="5"/>
      <c r="D59" s="5"/>
      <c r="E59" s="5"/>
      <c r="F59" s="5"/>
      <c r="G59" s="5"/>
      <c r="H59" s="5"/>
      <c r="I59" s="5"/>
      <c r="J59" s="5"/>
      <c r="K59" s="5"/>
    </row>
    <row r="60" spans="1:11">
      <c r="A60" s="5"/>
      <c r="B60" s="5"/>
      <c r="C60" s="5"/>
      <c r="D60" s="5"/>
      <c r="E60" s="5"/>
      <c r="F60" s="5"/>
      <c r="G60" s="5"/>
      <c r="H60" s="5"/>
      <c r="I60" s="5"/>
      <c r="J60" s="5"/>
      <c r="K60" s="5"/>
    </row>
    <row r="61" spans="1:11">
      <c r="A61" s="5"/>
      <c r="B61" s="5"/>
      <c r="C61" s="5"/>
      <c r="D61" s="5"/>
      <c r="E61" s="5"/>
      <c r="F61" s="5"/>
      <c r="G61" s="5"/>
      <c r="H61" s="5"/>
      <c r="I61" s="5"/>
      <c r="J61" s="5"/>
      <c r="K61" s="5"/>
    </row>
    <row r="62" spans="1:11">
      <c r="A62" s="5"/>
      <c r="B62" s="5"/>
      <c r="C62" s="5"/>
      <c r="D62" s="5"/>
      <c r="E62" s="5"/>
      <c r="F62" s="5"/>
      <c r="G62" s="5"/>
      <c r="H62" s="5"/>
      <c r="I62" s="5"/>
      <c r="J62" s="5"/>
      <c r="K62" s="5"/>
    </row>
    <row r="63" spans="1:11">
      <c r="A63" s="5"/>
      <c r="B63" s="5"/>
      <c r="C63" s="5"/>
      <c r="D63" s="5"/>
      <c r="E63" s="5"/>
      <c r="F63" s="5"/>
      <c r="G63" s="5"/>
      <c r="H63" s="5"/>
      <c r="I63" s="5"/>
      <c r="J63" s="5"/>
      <c r="K63" s="5"/>
    </row>
    <row r="64" spans="1:11">
      <c r="A64" s="5"/>
      <c r="B64" s="5"/>
      <c r="C64" s="5"/>
      <c r="D64" s="5"/>
      <c r="E64" s="5"/>
      <c r="F64" s="5"/>
      <c r="G64" s="5"/>
      <c r="H64" s="5"/>
      <c r="I64" s="5"/>
      <c r="J64" s="5"/>
      <c r="K64" s="5"/>
    </row>
    <row r="65" spans="1:11">
      <c r="A65" s="765" t="s">
        <v>506</v>
      </c>
      <c r="B65" s="766"/>
      <c r="C65" s="766"/>
      <c r="D65" s="766"/>
      <c r="E65" s="766"/>
      <c r="F65" s="766"/>
      <c r="G65" s="766"/>
      <c r="H65" s="766"/>
      <c r="I65" s="766"/>
      <c r="J65" s="766"/>
      <c r="K65" s="767"/>
    </row>
    <row r="66" spans="1:11">
      <c r="A66" s="265"/>
      <c r="B66" s="5"/>
      <c r="C66" s="5"/>
      <c r="D66" s="5"/>
      <c r="E66" s="5"/>
      <c r="F66" s="5"/>
      <c r="G66" s="5"/>
      <c r="H66" s="5"/>
      <c r="I66" s="5"/>
      <c r="J66" s="5"/>
      <c r="K66" s="266"/>
    </row>
    <row r="67" spans="1:11">
      <c r="A67" s="789" t="s">
        <v>541</v>
      </c>
      <c r="B67" s="791" t="s">
        <v>556</v>
      </c>
      <c r="C67" s="793" t="s">
        <v>557</v>
      </c>
      <c r="D67" s="793" t="s">
        <v>553</v>
      </c>
      <c r="E67" s="793" t="s">
        <v>544</v>
      </c>
      <c r="F67" s="5"/>
      <c r="G67" s="789" t="s">
        <v>545</v>
      </c>
      <c r="H67" s="791" t="s">
        <v>558</v>
      </c>
      <c r="I67" s="793" t="s">
        <v>559</v>
      </c>
      <c r="J67" s="793" t="s">
        <v>544</v>
      </c>
      <c r="K67" s="795" t="s">
        <v>517</v>
      </c>
    </row>
    <row r="68" spans="1:11">
      <c r="A68" s="790"/>
      <c r="B68" s="792"/>
      <c r="C68" s="794"/>
      <c r="D68" s="794"/>
      <c r="E68" s="794"/>
      <c r="F68" s="5"/>
      <c r="G68" s="790"/>
      <c r="H68" s="792"/>
      <c r="I68" s="794"/>
      <c r="J68" s="794"/>
      <c r="K68" s="796"/>
    </row>
    <row r="69" spans="1:11" ht="15.75" customHeight="1">
      <c r="A69" s="797" t="s">
        <v>534</v>
      </c>
      <c r="B69" s="756" t="s">
        <v>560</v>
      </c>
      <c r="C69" s="799">
        <f>Programme!A60</f>
        <v>85</v>
      </c>
      <c r="D69" s="801">
        <v>15</v>
      </c>
      <c r="E69" s="803">
        <f>B71*D69</f>
        <v>4.2016134453781516E-2</v>
      </c>
      <c r="F69" s="5"/>
      <c r="G69" s="754" t="s">
        <v>2</v>
      </c>
      <c r="H69" s="756" t="s">
        <v>561</v>
      </c>
      <c r="I69" s="805" t="s">
        <v>562</v>
      </c>
      <c r="J69" s="803">
        <f>Programme!C82</f>
        <v>2.6457142857142855E-3</v>
      </c>
      <c r="K69" s="808">
        <f>K40</f>
        <v>175.14559813084111</v>
      </c>
    </row>
    <row r="70" spans="1:11" ht="15.75" customHeight="1" thickBot="1">
      <c r="A70" s="798"/>
      <c r="B70" s="757"/>
      <c r="C70" s="800"/>
      <c r="D70" s="802"/>
      <c r="E70" s="804"/>
      <c r="F70" s="5"/>
      <c r="G70" s="755"/>
      <c r="H70" s="757"/>
      <c r="I70" s="806"/>
      <c r="J70" s="876"/>
      <c r="K70" s="809"/>
    </row>
    <row r="71" spans="1:11" ht="15.75" customHeight="1">
      <c r="A71" s="267"/>
      <c r="B71" s="268">
        <f>Programme!C91</f>
        <v>2.801075630252101E-3</v>
      </c>
      <c r="C71" s="269" t="s">
        <v>551</v>
      </c>
      <c r="D71" s="281" t="s">
        <v>555</v>
      </c>
      <c r="E71" s="386">
        <f>Programme!F60</f>
        <v>169.21839719626166</v>
      </c>
      <c r="F71" s="283"/>
      <c r="G71" s="272"/>
      <c r="H71" s="273"/>
      <c r="I71" s="274"/>
      <c r="J71" s="284"/>
      <c r="K71" s="401"/>
    </row>
    <row r="72" spans="1:11" ht="16.5" customHeight="1">
      <c r="A72" s="265"/>
      <c r="B72" s="148"/>
      <c r="C72" s="5"/>
      <c r="D72" s="5"/>
      <c r="E72" s="148"/>
      <c r="F72" s="5"/>
      <c r="G72" s="5"/>
      <c r="H72" s="5"/>
      <c r="I72" s="5"/>
      <c r="J72" s="148"/>
      <c r="K72" s="400"/>
    </row>
    <row r="73" spans="1:11">
      <c r="A73" s="789" t="s">
        <v>552</v>
      </c>
      <c r="B73" s="853" t="s">
        <v>33</v>
      </c>
      <c r="C73" s="793" t="s">
        <v>47</v>
      </c>
      <c r="D73" s="793" t="s">
        <v>553</v>
      </c>
      <c r="E73" s="877" t="s">
        <v>544</v>
      </c>
      <c r="F73" s="5"/>
      <c r="G73" s="789" t="s">
        <v>563</v>
      </c>
      <c r="H73" s="791" t="s">
        <v>10</v>
      </c>
      <c r="I73" s="879" t="s">
        <v>599</v>
      </c>
      <c r="J73" s="857" t="s">
        <v>613</v>
      </c>
      <c r="K73" s="859" t="s">
        <v>517</v>
      </c>
    </row>
    <row r="74" spans="1:11">
      <c r="A74" s="790"/>
      <c r="B74" s="854"/>
      <c r="C74" s="794"/>
      <c r="D74" s="794"/>
      <c r="E74" s="878"/>
      <c r="F74" s="5"/>
      <c r="G74" s="790"/>
      <c r="H74" s="792"/>
      <c r="I74" s="880"/>
      <c r="J74" s="858"/>
      <c r="K74" s="860"/>
    </row>
    <row r="75" spans="1:11">
      <c r="A75" s="754" t="s">
        <v>2</v>
      </c>
      <c r="B75" s="845" t="s">
        <v>565</v>
      </c>
      <c r="C75" s="816">
        <v>0.7</v>
      </c>
      <c r="D75" s="801">
        <v>12</v>
      </c>
      <c r="E75" s="803">
        <f>B77 *D75</f>
        <v>4.0807932427469697E-2</v>
      </c>
      <c r="F75" s="5"/>
      <c r="G75" s="754" t="s">
        <v>2</v>
      </c>
      <c r="H75" s="756" t="s">
        <v>600</v>
      </c>
      <c r="I75" s="881" t="s">
        <v>601</v>
      </c>
      <c r="J75" s="803">
        <f>Programme!C72</f>
        <v>6.632175720274133E-4</v>
      </c>
      <c r="K75" s="808">
        <f>K46</f>
        <v>187</v>
      </c>
    </row>
    <row r="76" spans="1:11" ht="16.5" thickBot="1">
      <c r="A76" s="755"/>
      <c r="B76" s="863"/>
      <c r="C76" s="817"/>
      <c r="D76" s="802"/>
      <c r="E76" s="876"/>
      <c r="F76" s="5"/>
      <c r="G76" s="755"/>
      <c r="H76" s="757"/>
      <c r="I76" s="882"/>
      <c r="J76" s="876"/>
      <c r="K76" s="809"/>
    </row>
    <row r="77" spans="1:11" ht="19.5">
      <c r="A77" s="267"/>
      <c r="B77" s="268">
        <f>B48</f>
        <v>3.4006610356224747E-3</v>
      </c>
      <c r="C77" s="269" t="s">
        <v>551</v>
      </c>
      <c r="D77" s="281" t="s">
        <v>555</v>
      </c>
      <c r="E77" s="386">
        <f>E48</f>
        <v>151.47</v>
      </c>
      <c r="F77" s="284"/>
      <c r="G77" s="5"/>
      <c r="H77" s="5"/>
      <c r="I77" s="5"/>
      <c r="J77" s="5"/>
      <c r="K77" s="266"/>
    </row>
    <row r="78" spans="1:11" ht="18.75">
      <c r="A78" s="267"/>
      <c r="B78" s="407"/>
      <c r="C78" s="357"/>
      <c r="D78" s="324"/>
      <c r="E78" s="284"/>
      <c r="F78" s="284"/>
      <c r="G78" s="5"/>
      <c r="H78" s="5"/>
      <c r="I78" s="5"/>
      <c r="J78" s="5"/>
      <c r="K78" s="266"/>
    </row>
    <row r="79" spans="1:11" ht="15.75" customHeight="1">
      <c r="A79" s="789" t="s">
        <v>602</v>
      </c>
      <c r="B79" s="853" t="s">
        <v>33</v>
      </c>
      <c r="C79" s="793" t="s">
        <v>47</v>
      </c>
      <c r="D79" s="793" t="s">
        <v>553</v>
      </c>
      <c r="E79" s="877" t="s">
        <v>544</v>
      </c>
      <c r="F79" s="5"/>
      <c r="G79" s="789" t="s">
        <v>1104</v>
      </c>
      <c r="H79" s="791" t="s">
        <v>564</v>
      </c>
    </row>
    <row r="80" spans="1:11" ht="15.75" customHeight="1" thickBot="1">
      <c r="A80" s="790"/>
      <c r="B80" s="854"/>
      <c r="C80" s="794"/>
      <c r="D80" s="794"/>
      <c r="E80" s="878"/>
      <c r="F80" s="5"/>
      <c r="G80" s="883"/>
      <c r="H80" s="884"/>
    </row>
    <row r="81" spans="1:14" ht="15.75" customHeight="1">
      <c r="A81" s="754" t="s">
        <v>2</v>
      </c>
      <c r="B81" s="845" t="s">
        <v>565</v>
      </c>
      <c r="C81" s="816">
        <v>0.7</v>
      </c>
      <c r="D81" s="801">
        <v>12</v>
      </c>
      <c r="E81" s="803">
        <f>B83 *D81</f>
        <v>4.0807932427469697E-2</v>
      </c>
      <c r="F81" s="5"/>
      <c r="I81" s="348"/>
    </row>
    <row r="82" spans="1:14" ht="16.5" customHeight="1" thickBot="1">
      <c r="A82" s="755"/>
      <c r="B82" s="863"/>
      <c r="C82" s="817"/>
      <c r="D82" s="802"/>
      <c r="E82" s="876"/>
      <c r="F82" s="5"/>
      <c r="I82" s="348"/>
    </row>
    <row r="83" spans="1:14" ht="19.5">
      <c r="A83" s="265"/>
      <c r="B83" s="268">
        <f>B48</f>
        <v>3.4006610356224747E-3</v>
      </c>
      <c r="C83" s="269" t="s">
        <v>551</v>
      </c>
      <c r="D83" s="281" t="s">
        <v>555</v>
      </c>
      <c r="E83" s="386">
        <f>E48</f>
        <v>151.47</v>
      </c>
      <c r="F83" s="5"/>
      <c r="G83" s="821" t="s">
        <v>566</v>
      </c>
      <c r="H83" s="822"/>
      <c r="I83" s="822"/>
      <c r="J83" s="823"/>
      <c r="K83" s="266"/>
    </row>
    <row r="84" spans="1:14">
      <c r="A84" s="265"/>
      <c r="B84" s="5"/>
      <c r="C84" s="5"/>
      <c r="D84" s="300"/>
      <c r="E84" s="301"/>
      <c r="F84" s="308"/>
      <c r="G84" s="824"/>
      <c r="H84" s="825"/>
      <c r="I84" s="825"/>
      <c r="J84" s="826"/>
      <c r="K84" s="266"/>
    </row>
    <row r="85" spans="1:14">
      <c r="A85" s="279"/>
      <c r="B85" s="9"/>
      <c r="C85" s="9"/>
      <c r="D85" s="358"/>
      <c r="E85" s="359"/>
      <c r="F85" s="360"/>
      <c r="G85" s="361"/>
      <c r="H85" s="9"/>
      <c r="I85" s="9"/>
      <c r="J85" s="9"/>
      <c r="K85" s="280"/>
    </row>
    <row r="86" spans="1:14" ht="16.5" customHeight="1">
      <c r="A86" s="5"/>
      <c r="B86" s="5"/>
      <c r="C86" s="5"/>
      <c r="D86" s="300"/>
      <c r="E86" s="301"/>
      <c r="F86" s="308"/>
      <c r="G86" s="309"/>
      <c r="H86" s="5"/>
      <c r="I86" s="5"/>
      <c r="J86" s="5"/>
      <c r="K86" s="5"/>
    </row>
    <row r="87" spans="1:14" ht="16.5" customHeight="1">
      <c r="A87" s="5"/>
      <c r="B87" s="5"/>
      <c r="C87" s="5"/>
      <c r="D87" s="300"/>
      <c r="E87" s="301"/>
      <c r="F87" s="308"/>
      <c r="G87" s="309"/>
      <c r="H87" s="5"/>
      <c r="I87" s="5"/>
      <c r="J87" s="5"/>
      <c r="K87" s="5"/>
    </row>
    <row r="88" spans="1:14" ht="16.5" customHeight="1">
      <c r="A88" s="5"/>
      <c r="B88" s="5"/>
      <c r="C88" s="5"/>
      <c r="D88" s="300"/>
      <c r="E88" s="301"/>
      <c r="F88" s="308"/>
      <c r="G88" s="309"/>
      <c r="H88" s="5"/>
      <c r="I88" s="5"/>
      <c r="J88" s="5"/>
      <c r="K88" s="5"/>
    </row>
    <row r="89" spans="1:14" ht="16.5" customHeight="1">
      <c r="A89" s="5"/>
      <c r="B89" s="5"/>
      <c r="C89" s="5"/>
      <c r="D89" s="300"/>
      <c r="E89" s="301"/>
      <c r="F89" s="308"/>
      <c r="G89" s="309"/>
      <c r="H89" s="5"/>
      <c r="I89" s="5"/>
      <c r="J89" s="5"/>
      <c r="K89" s="5"/>
    </row>
    <row r="90" spans="1:14" ht="16.5" customHeight="1">
      <c r="A90" s="5"/>
      <c r="B90" s="5"/>
      <c r="C90" s="5"/>
      <c r="D90" s="300"/>
      <c r="E90" s="301"/>
      <c r="F90" s="308"/>
      <c r="G90" s="309"/>
      <c r="H90" s="5"/>
      <c r="I90" s="5"/>
      <c r="J90" s="5"/>
      <c r="K90" s="5"/>
    </row>
    <row r="91" spans="1:14">
      <c r="A91" s="5"/>
      <c r="B91" s="5"/>
      <c r="C91" s="5"/>
      <c r="D91" s="300"/>
      <c r="E91" s="301"/>
      <c r="F91" s="308"/>
      <c r="G91" s="309"/>
      <c r="H91" s="5"/>
      <c r="I91" s="5"/>
      <c r="J91" s="5"/>
      <c r="K91" s="5"/>
    </row>
    <row r="92" spans="1:14" ht="16.5" thickBot="1">
      <c r="A92" s="5"/>
      <c r="B92" s="245"/>
      <c r="C92" s="5"/>
      <c r="D92" s="5"/>
      <c r="E92" s="5"/>
      <c r="F92" s="5"/>
      <c r="J92" s="5"/>
      <c r="K92" s="5"/>
    </row>
    <row r="93" spans="1:14">
      <c r="A93" s="5"/>
      <c r="B93" s="245"/>
      <c r="C93" s="827" t="s">
        <v>567</v>
      </c>
      <c r="D93" s="828"/>
      <c r="E93" s="141" t="s">
        <v>568</v>
      </c>
      <c r="F93" s="292">
        <v>186</v>
      </c>
      <c r="G93" s="402" t="s">
        <v>10</v>
      </c>
      <c r="H93" s="397">
        <v>16.5</v>
      </c>
      <c r="I93" s="354" t="s">
        <v>11</v>
      </c>
      <c r="J93" s="5"/>
      <c r="K93" s="5"/>
    </row>
    <row r="94" spans="1:14" ht="16.5" thickBot="1">
      <c r="A94" s="5"/>
      <c r="B94" s="263"/>
      <c r="C94" s="294"/>
      <c r="D94" s="295"/>
      <c r="E94" s="295"/>
      <c r="F94" s="5"/>
      <c r="G94" s="5"/>
      <c r="I94" s="266"/>
      <c r="J94" s="5"/>
      <c r="K94" s="5"/>
      <c r="L94" s="5"/>
      <c r="M94" s="5"/>
      <c r="N94" s="5"/>
    </row>
    <row r="95" spans="1:14" ht="16.5" thickBot="1">
      <c r="A95" s="5"/>
      <c r="B95" s="263"/>
      <c r="C95" s="294"/>
      <c r="D95" s="296"/>
      <c r="E95" s="297" t="s">
        <v>12</v>
      </c>
      <c r="F95" s="298">
        <v>112</v>
      </c>
      <c r="G95" s="299" t="s">
        <v>13</v>
      </c>
      <c r="H95" s="147" t="str">
        <f>IF(F95&lt;F93*0.5652,"Excellente",IF(F95&lt;F93*0.5815,"Très bonne",IF(F95&lt;F93*0.6033,"Bonne",IF(F95&lt;F93*0.6304,"Moyenne",IF(F95&lt;F93*0.663,"Médiocre",IF(F95&lt;F93*0.6902,"Mauvaise","Très mauvaise"))))))</f>
        <v>Bonne</v>
      </c>
      <c r="I95" s="266"/>
      <c r="J95" s="5"/>
    </row>
    <row r="96" spans="1:14">
      <c r="A96" s="5"/>
      <c r="B96" s="245"/>
      <c r="C96" s="294"/>
      <c r="D96" s="5"/>
      <c r="E96" s="5"/>
      <c r="F96" s="300" t="s">
        <v>569</v>
      </c>
      <c r="G96" s="301" t="s">
        <v>570</v>
      </c>
      <c r="H96" s="4">
        <f>(3.5*H93)</f>
        <v>57.75</v>
      </c>
      <c r="I96" s="355" t="s">
        <v>14</v>
      </c>
    </row>
    <row r="97" spans="1:11" ht="16.5" thickBot="1">
      <c r="A97" s="5"/>
      <c r="B97" s="245"/>
      <c r="C97" s="829" t="s">
        <v>571</v>
      </c>
      <c r="D97" s="830"/>
      <c r="E97" s="302">
        <f>IF(H93&lt;10,75,IF(H93&lt;12,78,IF(H93&lt;13,80,IF(H93&lt;14,82,IF(H93&lt;15,84,IF(H93&lt;16,85,IF(H93&lt;18,87,90)))))))</f>
        <v>87</v>
      </c>
      <c r="F97" s="303" t="s">
        <v>129</v>
      </c>
      <c r="G97" s="304"/>
      <c r="H97" s="305"/>
      <c r="I97" s="356"/>
    </row>
    <row r="98" spans="1:11">
      <c r="A98" s="5"/>
      <c r="B98" s="245"/>
      <c r="C98" s="300"/>
      <c r="D98" s="300"/>
      <c r="E98" s="306"/>
      <c r="F98" s="307"/>
      <c r="G98" s="301"/>
      <c r="H98" s="308"/>
      <c r="I98" s="309"/>
    </row>
    <row r="99" spans="1:11">
      <c r="A99" s="5"/>
      <c r="B99" s="245"/>
      <c r="C99" s="310" t="s">
        <v>21</v>
      </c>
      <c r="D99" s="310" t="s">
        <v>22</v>
      </c>
      <c r="E99" s="310" t="s">
        <v>23</v>
      </c>
      <c r="F99" s="831" t="s">
        <v>572</v>
      </c>
      <c r="G99" s="899"/>
      <c r="H99" s="831" t="s">
        <v>573</v>
      </c>
      <c r="I99" s="899"/>
    </row>
    <row r="100" spans="1:11">
      <c r="A100" s="5"/>
      <c r="B100" s="245"/>
      <c r="C100" s="10">
        <v>100</v>
      </c>
      <c r="D100" s="4">
        <f>H93</f>
        <v>16.5</v>
      </c>
      <c r="E100" s="4">
        <f t="shared" ref="E100:E106" si="0">(D100/3.6)</f>
        <v>4.583333333333333</v>
      </c>
      <c r="F100" s="897" t="s">
        <v>25</v>
      </c>
      <c r="G100" s="898"/>
      <c r="H100" s="835">
        <f>F93</f>
        <v>186</v>
      </c>
      <c r="I100" s="836"/>
      <c r="J100" s="5"/>
    </row>
    <row r="101" spans="1:11">
      <c r="A101" s="5"/>
      <c r="B101" s="245"/>
      <c r="C101" s="312">
        <f>E97</f>
        <v>87</v>
      </c>
      <c r="D101" s="4">
        <f>(C101*H93/100)</f>
        <v>14.355</v>
      </c>
      <c r="E101" s="4">
        <f t="shared" si="0"/>
        <v>3.9874999999999998</v>
      </c>
      <c r="F101" s="897" t="s">
        <v>26</v>
      </c>
      <c r="G101" s="898"/>
      <c r="H101" s="837">
        <f>((H100-H104)/(D100-D104)*D101+(H100-I106*D100))</f>
        <v>170.67168785046726</v>
      </c>
      <c r="I101" s="838"/>
      <c r="J101" s="5"/>
    </row>
    <row r="102" spans="1:11" ht="16.5" customHeight="1">
      <c r="A102" s="5"/>
      <c r="B102" s="245"/>
      <c r="C102" s="17">
        <f>IF(C101=80,C101-3,C101-5)</f>
        <v>82</v>
      </c>
      <c r="D102" s="4">
        <f>(C102*H93/100)</f>
        <v>13.53</v>
      </c>
      <c r="E102" s="4">
        <f t="shared" si="0"/>
        <v>3.7583333333333329</v>
      </c>
      <c r="F102" s="897" t="s">
        <v>27</v>
      </c>
      <c r="G102" s="898"/>
      <c r="H102" s="837">
        <f>((H100-H104)/(D100-D104)*D102+(H100-I106*D100))</f>
        <v>164.77618317757009</v>
      </c>
      <c r="I102" s="838"/>
      <c r="J102" s="5"/>
    </row>
    <row r="103" spans="1:11">
      <c r="A103" s="5"/>
      <c r="B103" s="245"/>
      <c r="C103" s="314">
        <f>(C104+C101)/2</f>
        <v>78.5140056022409</v>
      </c>
      <c r="D103" s="47">
        <f>(C103*H93/100)</f>
        <v>12.954810924369749</v>
      </c>
      <c r="E103" s="47">
        <f t="shared" si="0"/>
        <v>3.5985585901027077</v>
      </c>
      <c r="F103" s="315" t="s">
        <v>28</v>
      </c>
      <c r="G103" s="315"/>
      <c r="H103" s="837">
        <f>((H100-H104)/(D100-D104)*D103+(H100-I106*D100))</f>
        <v>160.66584392523362</v>
      </c>
      <c r="I103" s="838"/>
      <c r="J103" s="5"/>
    </row>
    <row r="104" spans="1:11">
      <c r="A104" s="5"/>
      <c r="B104" s="245"/>
      <c r="C104" s="17">
        <v>70.0280112044818</v>
      </c>
      <c r="D104" s="4">
        <f>(C104*H93/100)</f>
        <v>11.554621848739497</v>
      </c>
      <c r="E104" s="4">
        <f t="shared" si="0"/>
        <v>3.2096171802054156</v>
      </c>
      <c r="F104" s="897" t="s">
        <v>29</v>
      </c>
      <c r="G104" s="898"/>
      <c r="H104" s="837">
        <f>(81*H100/100)</f>
        <v>150.66</v>
      </c>
      <c r="I104" s="838"/>
      <c r="J104" s="5"/>
    </row>
    <row r="105" spans="1:11">
      <c r="A105" s="5"/>
      <c r="B105" s="245"/>
      <c r="C105" s="17">
        <v>135.01400560224093</v>
      </c>
      <c r="D105" s="4">
        <f>(C105*H93/100)</f>
        <v>22.277310924369754</v>
      </c>
      <c r="E105" s="4">
        <f t="shared" si="0"/>
        <v>6.1881419234360422</v>
      </c>
      <c r="F105" s="897" t="s">
        <v>30</v>
      </c>
      <c r="G105" s="898"/>
      <c r="H105" s="32"/>
      <c r="I105" s="403"/>
      <c r="J105" s="5"/>
    </row>
    <row r="106" spans="1:11">
      <c r="A106" s="5"/>
      <c r="B106" s="245"/>
      <c r="C106" s="17">
        <v>105.0420168067227</v>
      </c>
      <c r="D106" s="4">
        <f>(C106*H93/100)</f>
        <v>17.331932773109244</v>
      </c>
      <c r="E106" s="4">
        <f t="shared" si="0"/>
        <v>4.814425770308123</v>
      </c>
      <c r="F106" s="897" t="s">
        <v>31</v>
      </c>
      <c r="G106" s="898"/>
      <c r="H106" s="32"/>
      <c r="I106" s="61">
        <f>(H100-H104)/(D100-D104)</f>
        <v>7.146066270178423</v>
      </c>
      <c r="J106" s="5"/>
    </row>
    <row r="107" spans="1:11">
      <c r="A107" s="5"/>
      <c r="B107" s="245"/>
      <c r="C107" s="388"/>
      <c r="D107" s="388"/>
      <c r="E107" s="388"/>
      <c r="F107" s="910"/>
      <c r="G107" s="910"/>
      <c r="H107" s="389"/>
      <c r="I107" s="389"/>
      <c r="J107" s="5"/>
    </row>
    <row r="108" spans="1:11">
      <c r="D108" s="320"/>
      <c r="E108" s="301"/>
      <c r="F108" s="308"/>
      <c r="G108" s="309"/>
    </row>
    <row r="109" spans="1:11">
      <c r="A109" s="765" t="s">
        <v>507</v>
      </c>
      <c r="B109" s="766"/>
      <c r="C109" s="766"/>
      <c r="D109" s="766"/>
      <c r="E109" s="766"/>
      <c r="F109" s="766"/>
      <c r="G109" s="766"/>
      <c r="H109" s="766"/>
      <c r="I109" s="766"/>
      <c r="J109" s="766"/>
      <c r="K109" s="767"/>
    </row>
    <row r="110" spans="1:11">
      <c r="A110" s="265"/>
      <c r="B110" s="5"/>
      <c r="C110" s="5"/>
      <c r="D110" s="300"/>
      <c r="E110" s="301"/>
      <c r="F110" s="308"/>
      <c r="G110" s="309"/>
      <c r="H110" s="5"/>
      <c r="I110" s="5"/>
      <c r="J110" s="5"/>
      <c r="K110" s="266"/>
    </row>
    <row r="111" spans="1:11">
      <c r="A111" s="768" t="s">
        <v>541</v>
      </c>
      <c r="B111" s="769" t="s">
        <v>542</v>
      </c>
      <c r="C111" s="770" t="s">
        <v>543</v>
      </c>
      <c r="D111" s="770" t="s">
        <v>544</v>
      </c>
      <c r="E111" s="771" t="s">
        <v>517</v>
      </c>
      <c r="F111" s="308"/>
      <c r="G111" s="789" t="s">
        <v>545</v>
      </c>
      <c r="H111" s="791" t="s">
        <v>558</v>
      </c>
      <c r="I111" s="793" t="s">
        <v>576</v>
      </c>
      <c r="J111" s="793" t="s">
        <v>544</v>
      </c>
      <c r="K111" s="795" t="s">
        <v>517</v>
      </c>
    </row>
    <row r="112" spans="1:11">
      <c r="A112" s="768"/>
      <c r="B112" s="769"/>
      <c r="C112" s="770"/>
      <c r="D112" s="770"/>
      <c r="E112" s="771"/>
      <c r="F112" s="308"/>
      <c r="G112" s="790"/>
      <c r="H112" s="792"/>
      <c r="I112" s="794"/>
      <c r="J112" s="794"/>
      <c r="K112" s="796"/>
    </row>
    <row r="113" spans="1:11" ht="15.75" customHeight="1">
      <c r="A113" s="774" t="s">
        <v>2</v>
      </c>
      <c r="B113" s="775" t="s">
        <v>579</v>
      </c>
      <c r="C113" s="776">
        <v>10</v>
      </c>
      <c r="D113" s="778">
        <f>(C113*B115)</f>
        <v>3.2162568981705962E-2</v>
      </c>
      <c r="E113" s="780">
        <f>H103</f>
        <v>160.66584392523362</v>
      </c>
      <c r="F113" s="308"/>
      <c r="G113" s="902" t="s">
        <v>577</v>
      </c>
      <c r="H113" s="845" t="s">
        <v>578</v>
      </c>
      <c r="I113" s="904" t="s">
        <v>359</v>
      </c>
      <c r="J113" s="848">
        <f>((3*0.04167)/(E97/100*H93))</f>
        <v>8.708463949843261E-3</v>
      </c>
      <c r="K113" s="808">
        <f>H101</f>
        <v>170.67168785046726</v>
      </c>
    </row>
    <row r="114" spans="1:11" ht="15.75" customHeight="1">
      <c r="A114" s="774"/>
      <c r="B114" s="775"/>
      <c r="C114" s="777"/>
      <c r="D114" s="785"/>
      <c r="E114" s="781"/>
      <c r="F114" s="308"/>
      <c r="G114" s="903"/>
      <c r="H114" s="863"/>
      <c r="I114" s="905"/>
      <c r="J114" s="849"/>
      <c r="K114" s="809"/>
    </row>
    <row r="115" spans="1:11" ht="15.75" customHeight="1">
      <c r="A115" s="265"/>
      <c r="B115" s="336">
        <f>((1*0.041666)/(C103/100*H93))</f>
        <v>3.2162568981705963E-3</v>
      </c>
      <c r="C115" s="322" t="s">
        <v>580</v>
      </c>
      <c r="D115" s="398"/>
      <c r="E115" s="409"/>
      <c r="F115" s="308"/>
      <c r="G115" s="410"/>
      <c r="H115" s="148"/>
      <c r="I115" s="156" t="s">
        <v>358</v>
      </c>
      <c r="J115" s="321">
        <f>((2*0.04167)/(E97/100*H93))</f>
        <v>5.8056426332288398E-3</v>
      </c>
      <c r="K115" s="400"/>
    </row>
    <row r="116" spans="1:11" ht="15.75" customHeight="1">
      <c r="A116" s="265"/>
      <c r="B116" s="148"/>
      <c r="C116" s="5"/>
      <c r="D116" s="398"/>
      <c r="E116" s="409"/>
      <c r="F116" s="308"/>
      <c r="G116" s="410"/>
      <c r="H116" s="148"/>
      <c r="I116" s="156" t="s">
        <v>145</v>
      </c>
      <c r="J116" s="321">
        <f>((1*0.04167)/(E97/100*H93))</f>
        <v>2.9028213166144199E-3</v>
      </c>
      <c r="K116" s="400"/>
    </row>
    <row r="117" spans="1:11">
      <c r="A117" s="265"/>
      <c r="B117" s="148"/>
      <c r="C117" s="5"/>
      <c r="D117" s="300"/>
      <c r="E117" s="301"/>
      <c r="F117" s="308"/>
      <c r="G117" s="309"/>
      <c r="H117" s="5"/>
      <c r="I117" s="5"/>
      <c r="J117" s="5"/>
      <c r="K117" s="266"/>
    </row>
    <row r="118" spans="1:11">
      <c r="A118" s="789" t="s">
        <v>552</v>
      </c>
      <c r="B118" s="853" t="s">
        <v>33</v>
      </c>
      <c r="C118" s="793" t="s">
        <v>47</v>
      </c>
      <c r="D118" s="793" t="s">
        <v>553</v>
      </c>
      <c r="E118" s="793" t="s">
        <v>544</v>
      </c>
      <c r="G118" s="851" t="s">
        <v>563</v>
      </c>
      <c r="H118" s="853" t="s">
        <v>10</v>
      </c>
      <c r="I118" s="855" t="s">
        <v>581</v>
      </c>
      <c r="J118" s="857" t="s">
        <v>582</v>
      </c>
      <c r="K118" s="859" t="s">
        <v>517</v>
      </c>
    </row>
    <row r="119" spans="1:11">
      <c r="A119" s="790"/>
      <c r="B119" s="854"/>
      <c r="C119" s="794"/>
      <c r="D119" s="794"/>
      <c r="E119" s="794"/>
      <c r="G119" s="852"/>
      <c r="H119" s="854"/>
      <c r="I119" s="856"/>
      <c r="J119" s="858"/>
      <c r="K119" s="860"/>
    </row>
    <row r="120" spans="1:11">
      <c r="A120" s="754" t="s">
        <v>2</v>
      </c>
      <c r="B120" s="845" t="s">
        <v>565</v>
      </c>
      <c r="C120" s="816">
        <v>0.7</v>
      </c>
      <c r="D120" s="801">
        <v>12</v>
      </c>
      <c r="E120" s="803">
        <f>B122 *D120</f>
        <v>4.3281140453376957E-2</v>
      </c>
      <c r="G120" s="861" t="s">
        <v>2</v>
      </c>
      <c r="H120" s="845" t="s">
        <v>603</v>
      </c>
      <c r="I120" s="816" t="s">
        <v>584</v>
      </c>
      <c r="J120" s="865">
        <f>((0.2*0.04271)/(1.1138547*H93))</f>
        <v>4.6477962493399693E-4</v>
      </c>
      <c r="K120" s="894">
        <f>H100</f>
        <v>186</v>
      </c>
    </row>
    <row r="121" spans="1:11" ht="16.5" thickBot="1">
      <c r="A121" s="755"/>
      <c r="B121" s="863"/>
      <c r="C121" s="817"/>
      <c r="D121" s="802"/>
      <c r="E121" s="876"/>
      <c r="G121" s="862"/>
      <c r="H121" s="863"/>
      <c r="I121" s="864"/>
      <c r="J121" s="889"/>
      <c r="K121" s="895"/>
    </row>
    <row r="122" spans="1:11" ht="19.5">
      <c r="A122" s="265"/>
      <c r="B122" s="268">
        <f>((1*0.04167)/(0.7002*H93))</f>
        <v>3.6067617044480797E-3</v>
      </c>
      <c r="C122" s="349" t="s">
        <v>580</v>
      </c>
      <c r="D122" s="281" t="s">
        <v>555</v>
      </c>
      <c r="E122" s="386">
        <f>H104</f>
        <v>150.66</v>
      </c>
      <c r="F122" s="5"/>
      <c r="G122" s="309"/>
      <c r="H122" s="5"/>
      <c r="I122" s="5"/>
      <c r="J122" s="148"/>
      <c r="K122" s="400"/>
    </row>
    <row r="123" spans="1:11">
      <c r="A123" s="265"/>
      <c r="B123" s="148"/>
      <c r="C123" s="5"/>
      <c r="D123" s="300"/>
      <c r="E123" s="409"/>
      <c r="F123" s="308"/>
      <c r="G123" s="309"/>
      <c r="H123" s="5"/>
      <c r="I123" s="5"/>
      <c r="J123" s="148"/>
      <c r="K123" s="400"/>
    </row>
    <row r="124" spans="1:11">
      <c r="A124" s="789" t="s">
        <v>602</v>
      </c>
      <c r="B124" s="853" t="s">
        <v>33</v>
      </c>
      <c r="C124" s="793" t="s">
        <v>47</v>
      </c>
      <c r="D124" s="793" t="s">
        <v>553</v>
      </c>
      <c r="E124" s="839" t="s">
        <v>544</v>
      </c>
      <c r="F124" s="875"/>
      <c r="G124" s="768" t="s">
        <v>614</v>
      </c>
      <c r="H124" s="769" t="s">
        <v>542</v>
      </c>
      <c r="I124" s="770" t="s">
        <v>543</v>
      </c>
      <c r="J124" s="839" t="s">
        <v>544</v>
      </c>
      <c r="K124" s="840" t="s">
        <v>517</v>
      </c>
    </row>
    <row r="125" spans="1:11">
      <c r="A125" s="790"/>
      <c r="B125" s="854"/>
      <c r="C125" s="794"/>
      <c r="D125" s="794"/>
      <c r="E125" s="839"/>
      <c r="F125" s="900"/>
      <c r="G125" s="768"/>
      <c r="H125" s="769"/>
      <c r="I125" s="770"/>
      <c r="J125" s="839"/>
      <c r="K125" s="840"/>
    </row>
    <row r="126" spans="1:11">
      <c r="A126" s="754" t="s">
        <v>2</v>
      </c>
      <c r="B126" s="845" t="s">
        <v>565</v>
      </c>
      <c r="C126" s="816">
        <v>0.7</v>
      </c>
      <c r="D126" s="801">
        <v>12</v>
      </c>
      <c r="E126" s="778">
        <f>B128 *D126</f>
        <v>4.3281140453376957E-2</v>
      </c>
      <c r="F126" s="901"/>
      <c r="G126" s="774" t="s">
        <v>2</v>
      </c>
      <c r="H126" s="775" t="s">
        <v>579</v>
      </c>
      <c r="I126" s="776">
        <v>6</v>
      </c>
      <c r="J126" s="778">
        <f>(I126*H128)</f>
        <v>1.9297541389023579E-2</v>
      </c>
      <c r="K126" s="885">
        <f>H103</f>
        <v>160.66584392523362</v>
      </c>
    </row>
    <row r="127" spans="1:11">
      <c r="A127" s="755"/>
      <c r="B127" s="863"/>
      <c r="C127" s="817"/>
      <c r="D127" s="802"/>
      <c r="E127" s="788"/>
      <c r="F127" s="900"/>
      <c r="G127" s="774"/>
      <c r="H127" s="775"/>
      <c r="I127" s="777"/>
      <c r="J127" s="785"/>
      <c r="K127" s="886"/>
    </row>
    <row r="128" spans="1:11" ht="19.5">
      <c r="A128" s="265"/>
      <c r="B128" s="268">
        <f>((1*0.04167)/(0.7002*H93))</f>
        <v>3.6067617044480797E-3</v>
      </c>
      <c r="C128" s="349" t="s">
        <v>580</v>
      </c>
      <c r="D128" s="281" t="s">
        <v>555</v>
      </c>
      <c r="E128" s="387">
        <f>H104</f>
        <v>150.66</v>
      </c>
      <c r="F128" s="5"/>
      <c r="G128" s="362" t="s">
        <v>605</v>
      </c>
      <c r="H128" s="336">
        <f>((1*0.041666)/(C103/100*H93))</f>
        <v>3.2162568981705963E-3</v>
      </c>
      <c r="I128" s="322" t="s">
        <v>580</v>
      </c>
      <c r="J128" s="398"/>
      <c r="K128" s="399"/>
    </row>
    <row r="129" spans="1:11" ht="18.75">
      <c r="A129" s="265"/>
      <c r="B129" s="148"/>
      <c r="C129" s="5"/>
      <c r="D129" s="5"/>
      <c r="E129" s="5"/>
      <c r="F129" s="5"/>
      <c r="G129" s="339"/>
      <c r="H129" s="291"/>
      <c r="I129" s="323"/>
      <c r="J129" s="324"/>
      <c r="K129" s="325"/>
    </row>
    <row r="130" spans="1:11">
      <c r="A130" s="265"/>
      <c r="B130" s="5"/>
      <c r="C130" s="5"/>
      <c r="D130" s="5"/>
      <c r="E130" s="5"/>
      <c r="F130" s="5"/>
      <c r="G130" s="789" t="s">
        <v>615</v>
      </c>
      <c r="H130" s="853" t="s">
        <v>556</v>
      </c>
      <c r="I130" s="793" t="s">
        <v>557</v>
      </c>
      <c r="J130" s="793" t="s">
        <v>553</v>
      </c>
      <c r="K130" s="793" t="s">
        <v>544</v>
      </c>
    </row>
    <row r="131" spans="1:11">
      <c r="A131" s="265"/>
      <c r="B131" s="5"/>
      <c r="C131" s="5"/>
      <c r="D131" s="5"/>
      <c r="E131" s="5"/>
      <c r="F131" s="5"/>
      <c r="G131" s="790"/>
      <c r="H131" s="854"/>
      <c r="I131" s="794"/>
      <c r="J131" s="794"/>
      <c r="K131" s="794"/>
    </row>
    <row r="132" spans="1:11">
      <c r="A132" s="265"/>
      <c r="B132" s="5"/>
      <c r="C132" s="5"/>
      <c r="D132" s="5"/>
      <c r="E132" s="5"/>
      <c r="F132" s="5"/>
      <c r="G132" s="797" t="s">
        <v>534</v>
      </c>
      <c r="H132" s="845" t="s">
        <v>560</v>
      </c>
      <c r="I132" s="867">
        <f>C102</f>
        <v>82</v>
      </c>
      <c r="J132" s="801">
        <v>15</v>
      </c>
      <c r="K132" s="803">
        <f>H134*J132</f>
        <v>4.6192904656319297E-2</v>
      </c>
    </row>
    <row r="133" spans="1:11">
      <c r="A133" s="265"/>
      <c r="B133" s="5"/>
      <c r="C133" s="5"/>
      <c r="D133" s="5"/>
      <c r="E133" s="5"/>
      <c r="F133" s="5"/>
      <c r="G133" s="798"/>
      <c r="H133" s="863"/>
      <c r="I133" s="800"/>
      <c r="J133" s="818"/>
      <c r="K133" s="804"/>
    </row>
    <row r="134" spans="1:11" ht="19.5">
      <c r="A134" s="265"/>
      <c r="B134" s="5"/>
      <c r="C134" s="5"/>
      <c r="D134" s="5"/>
      <c r="E134" s="5"/>
      <c r="F134" s="5"/>
      <c r="G134" s="272"/>
      <c r="H134" s="268">
        <f>((1*0.041666)/(C102/100*H93))</f>
        <v>3.079526977087953E-3</v>
      </c>
      <c r="I134" s="349" t="s">
        <v>580</v>
      </c>
      <c r="J134" s="326" t="s">
        <v>589</v>
      </c>
      <c r="K134" s="386">
        <f>H102</f>
        <v>164.77618317757009</v>
      </c>
    </row>
    <row r="135" spans="1:11" ht="18.75">
      <c r="A135" s="279"/>
      <c r="B135" s="9"/>
      <c r="C135" s="9"/>
      <c r="D135" s="9"/>
      <c r="E135" s="9"/>
      <c r="F135" s="9"/>
      <c r="G135" s="350"/>
      <c r="H135" s="286"/>
      <c r="I135" s="287"/>
      <c r="J135" s="343"/>
      <c r="K135" s="351"/>
    </row>
    <row r="136" spans="1:11" ht="19.5" customHeight="1">
      <c r="G136" s="272"/>
      <c r="H136" s="291"/>
      <c r="I136" s="323"/>
      <c r="J136" s="324"/>
      <c r="K136" s="284"/>
    </row>
    <row r="137" spans="1:11" ht="19.5" customHeight="1">
      <c r="G137" s="272"/>
      <c r="H137" s="291"/>
      <c r="I137" s="323"/>
      <c r="J137" s="324"/>
      <c r="K137" s="284"/>
    </row>
    <row r="138" spans="1:11" ht="18.75">
      <c r="G138" s="272"/>
      <c r="H138" s="291"/>
      <c r="I138" s="323"/>
      <c r="J138" s="324"/>
      <c r="K138" s="284"/>
    </row>
    <row r="139" spans="1:11" ht="18.75">
      <c r="G139" s="272"/>
      <c r="H139" s="291"/>
      <c r="I139" s="323"/>
      <c r="J139" s="324"/>
      <c r="K139" s="284"/>
    </row>
    <row r="140" spans="1:11" ht="18.75" customHeight="1">
      <c r="A140" s="765" t="s">
        <v>585</v>
      </c>
      <c r="B140" s="766"/>
      <c r="C140" s="766"/>
      <c r="D140" s="766"/>
      <c r="E140" s="766"/>
      <c r="F140" s="766"/>
      <c r="G140" s="766"/>
      <c r="H140" s="766"/>
      <c r="I140" s="766"/>
      <c r="J140" s="766"/>
      <c r="K140" s="767"/>
    </row>
    <row r="141" spans="1:11" ht="18.75">
      <c r="A141" s="265"/>
      <c r="B141" s="5"/>
      <c r="C141" s="5"/>
      <c r="D141" s="5"/>
      <c r="E141" s="5"/>
      <c r="F141" s="5"/>
      <c r="G141" s="272"/>
      <c r="H141" s="291"/>
      <c r="I141" s="323"/>
      <c r="J141" s="324"/>
      <c r="K141" s="325"/>
    </row>
    <row r="142" spans="1:11">
      <c r="A142" s="789" t="s">
        <v>541</v>
      </c>
      <c r="B142" s="791" t="s">
        <v>556</v>
      </c>
      <c r="C142" s="793" t="s">
        <v>557</v>
      </c>
      <c r="D142" s="793" t="s">
        <v>553</v>
      </c>
      <c r="E142" s="793" t="s">
        <v>544</v>
      </c>
      <c r="F142" s="5"/>
      <c r="G142" s="851" t="s">
        <v>545</v>
      </c>
      <c r="H142" s="853" t="s">
        <v>10</v>
      </c>
      <c r="I142" s="855" t="s">
        <v>586</v>
      </c>
      <c r="J142" s="857" t="s">
        <v>587</v>
      </c>
      <c r="K142" s="859" t="s">
        <v>517</v>
      </c>
    </row>
    <row r="143" spans="1:11">
      <c r="A143" s="790"/>
      <c r="B143" s="792"/>
      <c r="C143" s="794"/>
      <c r="D143" s="794"/>
      <c r="E143" s="794"/>
      <c r="F143" s="5"/>
      <c r="G143" s="852"/>
      <c r="H143" s="854"/>
      <c r="I143" s="856"/>
      <c r="J143" s="858"/>
      <c r="K143" s="860"/>
    </row>
    <row r="144" spans="1:11">
      <c r="A144" s="797" t="s">
        <v>534</v>
      </c>
      <c r="B144" s="756" t="s">
        <v>560</v>
      </c>
      <c r="C144" s="867">
        <f>C102</f>
        <v>82</v>
      </c>
      <c r="D144" s="801">
        <v>13.5</v>
      </c>
      <c r="E144" s="803">
        <f>B146*D144</f>
        <v>4.1573614190687364E-2</v>
      </c>
      <c r="F144" s="5"/>
      <c r="G144" s="861" t="s">
        <v>2</v>
      </c>
      <c r="H144" s="845" t="s">
        <v>588</v>
      </c>
      <c r="I144" s="816" t="s">
        <v>127</v>
      </c>
      <c r="J144" s="892">
        <f>((0.8*0.041309)/(1.02*H93))</f>
        <v>1.9635888294711823E-3</v>
      </c>
      <c r="K144" s="894">
        <f>H100</f>
        <v>186</v>
      </c>
    </row>
    <row r="145" spans="1:11" ht="16.5" thickBot="1">
      <c r="A145" s="798"/>
      <c r="B145" s="757"/>
      <c r="C145" s="800"/>
      <c r="D145" s="818"/>
      <c r="E145" s="804"/>
      <c r="F145" s="5"/>
      <c r="G145" s="862"/>
      <c r="H145" s="863"/>
      <c r="I145" s="864"/>
      <c r="J145" s="893"/>
      <c r="K145" s="895"/>
    </row>
    <row r="146" spans="1:11" ht="19.5">
      <c r="A146" s="267"/>
      <c r="B146" s="268">
        <f>H134</f>
        <v>3.079526977087953E-3</v>
      </c>
      <c r="C146" s="269" t="s">
        <v>551</v>
      </c>
      <c r="D146" s="326" t="s">
        <v>589</v>
      </c>
      <c r="E146" s="386">
        <f>H102</f>
        <v>164.77618317757009</v>
      </c>
      <c r="F146" s="5"/>
      <c r="G146" s="272"/>
      <c r="H146" s="291"/>
      <c r="I146" s="323"/>
      <c r="J146" s="404"/>
      <c r="K146" s="325"/>
    </row>
    <row r="147" spans="1:11" ht="18.75">
      <c r="A147" s="265"/>
      <c r="B147" s="148"/>
      <c r="C147" s="148"/>
      <c r="D147" s="5"/>
      <c r="E147" s="148"/>
      <c r="F147" s="5"/>
      <c r="G147" s="272"/>
      <c r="H147" s="291"/>
      <c r="I147" s="323"/>
      <c r="J147" s="404"/>
      <c r="K147" s="325"/>
    </row>
    <row r="148" spans="1:11">
      <c r="A148" s="789" t="s">
        <v>552</v>
      </c>
      <c r="B148" s="853" t="s">
        <v>33</v>
      </c>
      <c r="C148" s="877" t="s">
        <v>47</v>
      </c>
      <c r="D148" s="793" t="s">
        <v>553</v>
      </c>
      <c r="E148" s="877" t="s">
        <v>544</v>
      </c>
      <c r="F148" s="5"/>
      <c r="G148" s="768" t="s">
        <v>604</v>
      </c>
      <c r="H148" s="769" t="s">
        <v>542</v>
      </c>
      <c r="I148" s="770" t="s">
        <v>543</v>
      </c>
      <c r="J148" s="839" t="s">
        <v>544</v>
      </c>
      <c r="K148" s="840" t="s">
        <v>517</v>
      </c>
    </row>
    <row r="149" spans="1:11">
      <c r="A149" s="790"/>
      <c r="B149" s="854"/>
      <c r="C149" s="878"/>
      <c r="D149" s="794"/>
      <c r="E149" s="878"/>
      <c r="F149" s="5"/>
      <c r="G149" s="768"/>
      <c r="H149" s="769"/>
      <c r="I149" s="770"/>
      <c r="J149" s="839"/>
      <c r="K149" s="840"/>
    </row>
    <row r="150" spans="1:11">
      <c r="A150" s="754" t="s">
        <v>2</v>
      </c>
      <c r="B150" s="845" t="s">
        <v>554</v>
      </c>
      <c r="C150" s="816">
        <v>0.7</v>
      </c>
      <c r="D150" s="801">
        <v>10</v>
      </c>
      <c r="E150" s="803">
        <f>B152 *D150</f>
        <v>3.6067617044480797E-2</v>
      </c>
      <c r="F150" s="5"/>
      <c r="G150" s="774" t="s">
        <v>2</v>
      </c>
      <c r="H150" s="775" t="s">
        <v>591</v>
      </c>
      <c r="I150" s="776">
        <v>6.5</v>
      </c>
      <c r="J150" s="778">
        <f>(I150*H152)</f>
        <v>2.0905669838108876E-2</v>
      </c>
      <c r="K150" s="885">
        <f>H103</f>
        <v>160.66584392523362</v>
      </c>
    </row>
    <row r="151" spans="1:11" ht="16.5" thickBot="1">
      <c r="A151" s="755"/>
      <c r="B151" s="863"/>
      <c r="C151" s="817"/>
      <c r="D151" s="802"/>
      <c r="E151" s="876"/>
      <c r="F151" s="5"/>
      <c r="G151" s="774"/>
      <c r="H151" s="775"/>
      <c r="I151" s="777"/>
      <c r="J151" s="785"/>
      <c r="K151" s="886"/>
    </row>
    <row r="152" spans="1:11" ht="19.5">
      <c r="A152" s="265"/>
      <c r="B152" s="268">
        <f>B128</f>
        <v>3.6067617044480797E-3</v>
      </c>
      <c r="C152" s="349" t="s">
        <v>580</v>
      </c>
      <c r="D152" s="326" t="s">
        <v>589</v>
      </c>
      <c r="E152" s="386">
        <f>H104</f>
        <v>150.66</v>
      </c>
      <c r="F152" s="5"/>
      <c r="G152" s="5"/>
      <c r="H152" s="336">
        <f>H128</f>
        <v>3.2162568981705963E-3</v>
      </c>
      <c r="I152" s="322" t="s">
        <v>580</v>
      </c>
      <c r="J152" s="398"/>
      <c r="K152" s="399"/>
    </row>
    <row r="153" spans="1:11" ht="16.5" customHeight="1">
      <c r="A153" s="265"/>
      <c r="B153" s="5"/>
      <c r="C153" s="5"/>
      <c r="D153" s="5"/>
      <c r="E153" s="5"/>
      <c r="F153" s="5"/>
      <c r="G153" s="352" t="s">
        <v>605</v>
      </c>
      <c r="H153" s="853" t="s">
        <v>10</v>
      </c>
      <c r="I153" s="855" t="s">
        <v>606</v>
      </c>
      <c r="J153" s="857" t="s">
        <v>607</v>
      </c>
      <c r="K153" s="859" t="s">
        <v>517</v>
      </c>
    </row>
    <row r="154" spans="1:11">
      <c r="A154" s="265"/>
      <c r="B154" s="5"/>
      <c r="C154" s="5"/>
      <c r="D154" s="5"/>
      <c r="E154" s="5"/>
      <c r="F154" s="5"/>
      <c r="G154" s="272"/>
      <c r="H154" s="854"/>
      <c r="I154" s="856"/>
      <c r="J154" s="858"/>
      <c r="K154" s="860"/>
    </row>
    <row r="155" spans="1:11">
      <c r="A155" s="265"/>
      <c r="B155" s="5"/>
      <c r="C155" s="5"/>
      <c r="D155" s="5"/>
      <c r="E155" s="5"/>
      <c r="F155" s="5"/>
      <c r="G155" s="272"/>
      <c r="H155" s="845" t="s">
        <v>608</v>
      </c>
      <c r="I155" s="816" t="s">
        <v>584</v>
      </c>
      <c r="J155" s="865">
        <f>((0.1*0.0428)/(1.1265461*H93))</f>
        <v>2.3025594726566395E-4</v>
      </c>
      <c r="K155" s="894">
        <f>H100</f>
        <v>186</v>
      </c>
    </row>
    <row r="156" spans="1:11" ht="16.5" thickBot="1">
      <c r="A156" s="265"/>
      <c r="B156" s="5"/>
      <c r="C156" s="5"/>
      <c r="D156" s="5"/>
      <c r="E156" s="5"/>
      <c r="F156" s="5"/>
      <c r="G156" s="272"/>
      <c r="H156" s="863"/>
      <c r="I156" s="864"/>
      <c r="J156" s="889"/>
      <c r="K156" s="895"/>
    </row>
    <row r="157" spans="1:11" ht="18.75" customHeight="1">
      <c r="A157" s="265"/>
      <c r="B157" s="5"/>
      <c r="C157" s="5"/>
      <c r="D157" s="5"/>
      <c r="E157" s="5"/>
      <c r="F157" s="5"/>
      <c r="G157" s="352" t="s">
        <v>605</v>
      </c>
      <c r="H157" s="853" t="s">
        <v>556</v>
      </c>
      <c r="I157" s="793" t="s">
        <v>557</v>
      </c>
      <c r="J157" s="793" t="s">
        <v>553</v>
      </c>
      <c r="K157" s="793" t="s">
        <v>544</v>
      </c>
    </row>
    <row r="158" spans="1:11">
      <c r="A158" s="265"/>
      <c r="B158" s="5"/>
      <c r="C158" s="5"/>
      <c r="D158" s="5"/>
      <c r="E158" s="5"/>
      <c r="F158" s="5"/>
      <c r="G158" s="797" t="s">
        <v>534</v>
      </c>
      <c r="H158" s="854"/>
      <c r="I158" s="794"/>
      <c r="J158" s="794"/>
      <c r="K158" s="794"/>
    </row>
    <row r="159" spans="1:11">
      <c r="A159" s="265"/>
      <c r="B159" s="5"/>
      <c r="C159" s="5"/>
      <c r="D159" s="5"/>
      <c r="E159" s="5"/>
      <c r="F159" s="5"/>
      <c r="G159" s="798"/>
      <c r="H159" s="845" t="s">
        <v>616</v>
      </c>
      <c r="I159" s="867">
        <f>C102</f>
        <v>82</v>
      </c>
      <c r="J159" s="801">
        <v>10</v>
      </c>
      <c r="K159" s="803">
        <f>H161*J159</f>
        <v>3.079526977087953E-2</v>
      </c>
    </row>
    <row r="160" spans="1:11">
      <c r="A160" s="265"/>
      <c r="B160" s="5"/>
      <c r="C160" s="5"/>
      <c r="D160" s="5"/>
      <c r="E160" s="5"/>
      <c r="F160" s="5"/>
      <c r="G160" s="5"/>
      <c r="H160" s="863"/>
      <c r="I160" s="800"/>
      <c r="J160" s="818"/>
      <c r="K160" s="804"/>
    </row>
    <row r="161" spans="1:11" ht="19.5">
      <c r="A161" s="265"/>
      <c r="B161" s="789" t="s">
        <v>602</v>
      </c>
      <c r="C161" s="810" t="s">
        <v>592</v>
      </c>
      <c r="D161" s="811"/>
      <c r="E161" s="812"/>
      <c r="F161" s="5"/>
      <c r="G161" s="5"/>
      <c r="H161" s="268">
        <f>H134</f>
        <v>3.079526977087953E-3</v>
      </c>
      <c r="I161" s="269" t="s">
        <v>551</v>
      </c>
      <c r="J161" s="326" t="s">
        <v>589</v>
      </c>
      <c r="K161" s="386">
        <f>H102</f>
        <v>164.77618317757009</v>
      </c>
    </row>
    <row r="162" spans="1:11">
      <c r="A162" s="265"/>
      <c r="B162" s="790"/>
      <c r="C162" s="813"/>
      <c r="D162" s="814"/>
      <c r="E162" s="815"/>
      <c r="F162" s="5"/>
      <c r="G162" s="5"/>
      <c r="H162" s="5"/>
      <c r="I162" s="5"/>
      <c r="J162" s="5"/>
      <c r="K162" s="266"/>
    </row>
    <row r="163" spans="1:11">
      <c r="A163" s="279"/>
      <c r="B163" s="9"/>
      <c r="C163" s="9"/>
      <c r="D163" s="9"/>
      <c r="E163" s="9"/>
      <c r="F163" s="9"/>
      <c r="G163" s="9"/>
      <c r="H163" s="9"/>
      <c r="I163" s="9"/>
      <c r="J163" s="9"/>
      <c r="K163" s="280"/>
    </row>
    <row r="165" spans="1:11">
      <c r="A165" s="640" t="s">
        <v>593</v>
      </c>
      <c r="B165" s="640"/>
      <c r="C165" s="640"/>
      <c r="D165" s="640"/>
      <c r="E165" s="640"/>
      <c r="F165" s="640"/>
      <c r="G165" s="640"/>
      <c r="H165" s="640"/>
      <c r="I165" s="640"/>
      <c r="J165" s="640"/>
      <c r="K165" s="640"/>
    </row>
    <row r="166" spans="1:11">
      <c r="A166" s="739" t="s">
        <v>1114</v>
      </c>
      <c r="B166" s="739"/>
      <c r="C166" s="739"/>
      <c r="D166" s="739"/>
      <c r="E166" s="739"/>
      <c r="F166" s="739"/>
      <c r="G166" s="739"/>
      <c r="H166" s="739"/>
      <c r="I166" s="739"/>
      <c r="J166" s="739"/>
      <c r="K166" s="739"/>
    </row>
  </sheetData>
  <sheetProtection password="8026" sheet="1" objects="1" scenarios="1"/>
  <mergeCells count="393">
    <mergeCell ref="F107:G107"/>
    <mergeCell ref="J113:J114"/>
    <mergeCell ref="J73:J74"/>
    <mergeCell ref="A81:A82"/>
    <mergeCell ref="B81:B82"/>
    <mergeCell ref="C81:C82"/>
    <mergeCell ref="D81:D82"/>
    <mergeCell ref="E81:E82"/>
    <mergeCell ref="E79:E80"/>
    <mergeCell ref="A79:A80"/>
    <mergeCell ref="B79:B80"/>
    <mergeCell ref="E73:E74"/>
    <mergeCell ref="A67:A68"/>
    <mergeCell ref="B67:B68"/>
    <mergeCell ref="E67:E68"/>
    <mergeCell ref="B69:B70"/>
    <mergeCell ref="C69:C70"/>
    <mergeCell ref="D69:D70"/>
    <mergeCell ref="E69:E70"/>
    <mergeCell ref="A69:A70"/>
    <mergeCell ref="K73:K74"/>
    <mergeCell ref="G75:G76"/>
    <mergeCell ref="H75:H76"/>
    <mergeCell ref="I75:I76"/>
    <mergeCell ref="J75:J76"/>
    <mergeCell ref="K75:K76"/>
    <mergeCell ref="G73:G74"/>
    <mergeCell ref="H73:H74"/>
    <mergeCell ref="A40:A41"/>
    <mergeCell ref="A6:A7"/>
    <mergeCell ref="C67:C68"/>
    <mergeCell ref="D67:D68"/>
    <mergeCell ref="K14:K15"/>
    <mergeCell ref="G16:G17"/>
    <mergeCell ref="K44:K45"/>
    <mergeCell ref="A36:K36"/>
    <mergeCell ref="K46:K47"/>
    <mergeCell ref="G44:G45"/>
    <mergeCell ref="A8:A9"/>
    <mergeCell ref="B8:B9"/>
    <mergeCell ref="C8:C9"/>
    <mergeCell ref="D8:D9"/>
    <mergeCell ref="C10:C11"/>
    <mergeCell ref="D10:D11"/>
    <mergeCell ref="K8:K9"/>
    <mergeCell ref="C6:C7"/>
    <mergeCell ref="E8:E9"/>
    <mergeCell ref="D6:D7"/>
    <mergeCell ref="E6:E7"/>
    <mergeCell ref="E46:E47"/>
    <mergeCell ref="D46:D47"/>
    <mergeCell ref="E38:E39"/>
    <mergeCell ref="H44:H45"/>
    <mergeCell ref="G46:G47"/>
    <mergeCell ref="B38:B39"/>
    <mergeCell ref="B40:B41"/>
    <mergeCell ref="B44:B45"/>
    <mergeCell ref="C44:C45"/>
    <mergeCell ref="G40:G41"/>
    <mergeCell ref="E44:E45"/>
    <mergeCell ref="D44:D45"/>
    <mergeCell ref="B46:B47"/>
    <mergeCell ref="C46:C47"/>
    <mergeCell ref="C40:C41"/>
    <mergeCell ref="D40:D41"/>
    <mergeCell ref="E40:E41"/>
    <mergeCell ref="C38:C39"/>
    <mergeCell ref="D38:D39"/>
    <mergeCell ref="J40:J41"/>
    <mergeCell ref="G38:G39"/>
    <mergeCell ref="H38:H39"/>
    <mergeCell ref="I38:I39"/>
    <mergeCell ref="J38:J39"/>
    <mergeCell ref="A38:A39"/>
    <mergeCell ref="A14:A15"/>
    <mergeCell ref="K6:K7"/>
    <mergeCell ref="G6:G7"/>
    <mergeCell ref="J6:J7"/>
    <mergeCell ref="C14:C15"/>
    <mergeCell ref="A12:A13"/>
    <mergeCell ref="B12:B13"/>
    <mergeCell ref="C12:C13"/>
    <mergeCell ref="A10:A11"/>
    <mergeCell ref="B10:B11"/>
    <mergeCell ref="J14:J15"/>
    <mergeCell ref="J8:J9"/>
    <mergeCell ref="G10:G11"/>
    <mergeCell ref="H10:H11"/>
    <mergeCell ref="I10:I11"/>
    <mergeCell ref="J10:J11"/>
    <mergeCell ref="G8:G9"/>
    <mergeCell ref="H8:H9"/>
    <mergeCell ref="I8:I9"/>
    <mergeCell ref="I14:I15"/>
    <mergeCell ref="H14:H15"/>
    <mergeCell ref="E31:E32"/>
    <mergeCell ref="H23:H24"/>
    <mergeCell ref="E21:E22"/>
    <mergeCell ref="G29:G30"/>
    <mergeCell ref="H16:H17"/>
    <mergeCell ref="G25:G26"/>
    <mergeCell ref="G27:G28"/>
    <mergeCell ref="G19:G20"/>
    <mergeCell ref="G14:G15"/>
    <mergeCell ref="C21:C22"/>
    <mergeCell ref="D21:D22"/>
    <mergeCell ref="C27:C28"/>
    <mergeCell ref="D27:D28"/>
    <mergeCell ref="G23:G24"/>
    <mergeCell ref="D25:D26"/>
    <mergeCell ref="A25:A26"/>
    <mergeCell ref="A23:A24"/>
    <mergeCell ref="B23:B24"/>
    <mergeCell ref="G21:G22"/>
    <mergeCell ref="C31:C32"/>
    <mergeCell ref="D31:D32"/>
    <mergeCell ref="D12:D13"/>
    <mergeCell ref="E10:E11"/>
    <mergeCell ref="E12:E13"/>
    <mergeCell ref="A21:A22"/>
    <mergeCell ref="B21:B22"/>
    <mergeCell ref="A31:A32"/>
    <mergeCell ref="B31:B32"/>
    <mergeCell ref="B25:B26"/>
    <mergeCell ref="A27:A28"/>
    <mergeCell ref="B27:B28"/>
    <mergeCell ref="E16:E17"/>
    <mergeCell ref="A16:A17"/>
    <mergeCell ref="B16:B17"/>
    <mergeCell ref="C16:C17"/>
    <mergeCell ref="D16:D17"/>
    <mergeCell ref="D14:D15"/>
    <mergeCell ref="E14:E15"/>
    <mergeCell ref="B6:B7"/>
    <mergeCell ref="B14:B15"/>
    <mergeCell ref="K10:K11"/>
    <mergeCell ref="G12:G13"/>
    <mergeCell ref="H12:H13"/>
    <mergeCell ref="I12:I13"/>
    <mergeCell ref="J12:J13"/>
    <mergeCell ref="K12:K13"/>
    <mergeCell ref="H6:H7"/>
    <mergeCell ref="I6:I7"/>
    <mergeCell ref="I16:I17"/>
    <mergeCell ref="K21:K22"/>
    <mergeCell ref="K23:K24"/>
    <mergeCell ref="J16:J17"/>
    <mergeCell ref="K16:K17"/>
    <mergeCell ref="J21:J22"/>
    <mergeCell ref="K19:K20"/>
    <mergeCell ref="J23:J24"/>
    <mergeCell ref="J19:J20"/>
    <mergeCell ref="I21:I22"/>
    <mergeCell ref="J25:J26"/>
    <mergeCell ref="K25:K26"/>
    <mergeCell ref="H27:H28"/>
    <mergeCell ref="J27:J28"/>
    <mergeCell ref="K27:K28"/>
    <mergeCell ref="I27:I28"/>
    <mergeCell ref="C23:C24"/>
    <mergeCell ref="D23:D24"/>
    <mergeCell ref="E23:E24"/>
    <mergeCell ref="K67:K68"/>
    <mergeCell ref="K29:K30"/>
    <mergeCell ref="J29:J30"/>
    <mergeCell ref="K38:K39"/>
    <mergeCell ref="J50:J51"/>
    <mergeCell ref="K40:K41"/>
    <mergeCell ref="J44:J45"/>
    <mergeCell ref="J46:J47"/>
    <mergeCell ref="I73:I74"/>
    <mergeCell ref="I23:I24"/>
    <mergeCell ref="D29:D30"/>
    <mergeCell ref="E29:E30"/>
    <mergeCell ref="G50:G51"/>
    <mergeCell ref="H50:H51"/>
    <mergeCell ref="H29:H30"/>
    <mergeCell ref="I29:I30"/>
    <mergeCell ref="E25:E26"/>
    <mergeCell ref="H52:H53"/>
    <mergeCell ref="I52:I53"/>
    <mergeCell ref="H25:H26"/>
    <mergeCell ref="I25:I26"/>
    <mergeCell ref="I44:I45"/>
    <mergeCell ref="H40:H41"/>
    <mergeCell ref="I40:I41"/>
    <mergeCell ref="H46:H47"/>
    <mergeCell ref="I46:I47"/>
    <mergeCell ref="I19:I20"/>
    <mergeCell ref="H21:H22"/>
    <mergeCell ref="A109:K109"/>
    <mergeCell ref="E50:E51"/>
    <mergeCell ref="I50:I51"/>
    <mergeCell ref="A44:A45"/>
    <mergeCell ref="A46:A47"/>
    <mergeCell ref="A50:A51"/>
    <mergeCell ref="B50:B51"/>
    <mergeCell ref="G52:G53"/>
    <mergeCell ref="A1:K1"/>
    <mergeCell ref="A33:K33"/>
    <mergeCell ref="A34:K34"/>
    <mergeCell ref="E27:E28"/>
    <mergeCell ref="A29:A30"/>
    <mergeCell ref="B29:B30"/>
    <mergeCell ref="C29:C30"/>
    <mergeCell ref="C25:C26"/>
    <mergeCell ref="A2:K2"/>
    <mergeCell ref="H19:H20"/>
    <mergeCell ref="A118:A119"/>
    <mergeCell ref="B118:B119"/>
    <mergeCell ref="A120:A121"/>
    <mergeCell ref="B120:B121"/>
    <mergeCell ref="A124:A125"/>
    <mergeCell ref="B124:B125"/>
    <mergeCell ref="G124:G125"/>
    <mergeCell ref="H124:H125"/>
    <mergeCell ref="I124:I125"/>
    <mergeCell ref="J124:J125"/>
    <mergeCell ref="A144:A145"/>
    <mergeCell ref="A148:A149"/>
    <mergeCell ref="K50:K51"/>
    <mergeCell ref="G67:G68"/>
    <mergeCell ref="H67:H68"/>
    <mergeCell ref="A65:K65"/>
    <mergeCell ref="E52:E53"/>
    <mergeCell ref="I67:I68"/>
    <mergeCell ref="J67:J68"/>
    <mergeCell ref="A52:A53"/>
    <mergeCell ref="C50:C51"/>
    <mergeCell ref="D50:D51"/>
    <mergeCell ref="B52:B53"/>
    <mergeCell ref="C52:C53"/>
    <mergeCell ref="D52:D53"/>
    <mergeCell ref="K69:K70"/>
    <mergeCell ref="G69:G70"/>
    <mergeCell ref="H69:H70"/>
    <mergeCell ref="I69:I70"/>
    <mergeCell ref="J69:J70"/>
    <mergeCell ref="J52:J53"/>
    <mergeCell ref="K52:K53"/>
    <mergeCell ref="A73:A74"/>
    <mergeCell ref="B73:B74"/>
    <mergeCell ref="C73:C74"/>
    <mergeCell ref="D73:D74"/>
    <mergeCell ref="E75:E76"/>
    <mergeCell ref="A75:A76"/>
    <mergeCell ref="B75:B76"/>
    <mergeCell ref="C75:C76"/>
    <mergeCell ref="D75:D76"/>
    <mergeCell ref="E111:E112"/>
    <mergeCell ref="A113:A114"/>
    <mergeCell ref="B113:B114"/>
    <mergeCell ref="C113:C114"/>
    <mergeCell ref="D113:D114"/>
    <mergeCell ref="E113:E114"/>
    <mergeCell ref="C111:C112"/>
    <mergeCell ref="D111:D112"/>
    <mergeCell ref="A111:A112"/>
    <mergeCell ref="B111:B112"/>
    <mergeCell ref="J111:J112"/>
    <mergeCell ref="K111:K112"/>
    <mergeCell ref="G113:G114"/>
    <mergeCell ref="H113:H114"/>
    <mergeCell ref="I113:I114"/>
    <mergeCell ref="K113:K114"/>
    <mergeCell ref="G111:G112"/>
    <mergeCell ref="H111:H112"/>
    <mergeCell ref="I111:I112"/>
    <mergeCell ref="G118:G119"/>
    <mergeCell ref="H118:H119"/>
    <mergeCell ref="C118:C119"/>
    <mergeCell ref="D118:D119"/>
    <mergeCell ref="E118:E119"/>
    <mergeCell ref="I118:I119"/>
    <mergeCell ref="C120:C121"/>
    <mergeCell ref="D120:D121"/>
    <mergeCell ref="K118:K119"/>
    <mergeCell ref="G120:G121"/>
    <mergeCell ref="H120:H121"/>
    <mergeCell ref="I120:I121"/>
    <mergeCell ref="J120:J121"/>
    <mergeCell ref="K120:K121"/>
    <mergeCell ref="J118:J119"/>
    <mergeCell ref="E120:E121"/>
    <mergeCell ref="C124:C125"/>
    <mergeCell ref="D124:D125"/>
    <mergeCell ref="A140:K140"/>
    <mergeCell ref="A142:A143"/>
    <mergeCell ref="B142:B143"/>
    <mergeCell ref="C142:C143"/>
    <mergeCell ref="D142:D143"/>
    <mergeCell ref="E142:E143"/>
    <mergeCell ref="G142:G143"/>
    <mergeCell ref="H142:H143"/>
    <mergeCell ref="F124:F125"/>
    <mergeCell ref="J126:J127"/>
    <mergeCell ref="K126:K127"/>
    <mergeCell ref="E124:E125"/>
    <mergeCell ref="E126:E127"/>
    <mergeCell ref="F126:F127"/>
    <mergeCell ref="K124:K125"/>
    <mergeCell ref="G126:G127"/>
    <mergeCell ref="H126:H127"/>
    <mergeCell ref="I126:I127"/>
    <mergeCell ref="K132:K133"/>
    <mergeCell ref="G130:G131"/>
    <mergeCell ref="H130:H131"/>
    <mergeCell ref="I130:I131"/>
    <mergeCell ref="A126:A127"/>
    <mergeCell ref="B126:B127"/>
    <mergeCell ref="C126:C127"/>
    <mergeCell ref="D126:D127"/>
    <mergeCell ref="B144:B145"/>
    <mergeCell ref="C144:C145"/>
    <mergeCell ref="D144:D145"/>
    <mergeCell ref="E144:E145"/>
    <mergeCell ref="J130:J131"/>
    <mergeCell ref="K130:K131"/>
    <mergeCell ref="G132:G133"/>
    <mergeCell ref="H132:H133"/>
    <mergeCell ref="I132:I133"/>
    <mergeCell ref="J132:J133"/>
    <mergeCell ref="I142:I143"/>
    <mergeCell ref="J142:J143"/>
    <mergeCell ref="K142:K143"/>
    <mergeCell ref="G144:G145"/>
    <mergeCell ref="H144:H145"/>
    <mergeCell ref="I144:I145"/>
    <mergeCell ref="J144:J145"/>
    <mergeCell ref="K144:K145"/>
    <mergeCell ref="A150:A151"/>
    <mergeCell ref="B150:B151"/>
    <mergeCell ref="C150:C151"/>
    <mergeCell ref="D150:D151"/>
    <mergeCell ref="E150:E151"/>
    <mergeCell ref="B148:B149"/>
    <mergeCell ref="C148:C149"/>
    <mergeCell ref="D148:D149"/>
    <mergeCell ref="E148:E149"/>
    <mergeCell ref="K148:K149"/>
    <mergeCell ref="G150:G151"/>
    <mergeCell ref="H150:H151"/>
    <mergeCell ref="I150:I151"/>
    <mergeCell ref="J150:J151"/>
    <mergeCell ref="K150:K151"/>
    <mergeCell ref="G148:G149"/>
    <mergeCell ref="H148:H149"/>
    <mergeCell ref="I148:I149"/>
    <mergeCell ref="J148:J149"/>
    <mergeCell ref="H155:H156"/>
    <mergeCell ref="I155:I156"/>
    <mergeCell ref="J155:J156"/>
    <mergeCell ref="K155:K156"/>
    <mergeCell ref="H153:H154"/>
    <mergeCell ref="I153:I154"/>
    <mergeCell ref="J153:J154"/>
    <mergeCell ref="K153:K154"/>
    <mergeCell ref="A4:E5"/>
    <mergeCell ref="G4:K5"/>
    <mergeCell ref="A19:E20"/>
    <mergeCell ref="G158:G159"/>
    <mergeCell ref="H159:H160"/>
    <mergeCell ref="I159:I160"/>
    <mergeCell ref="J159:J160"/>
    <mergeCell ref="K159:K160"/>
    <mergeCell ref="H157:H158"/>
    <mergeCell ref="I157:I158"/>
    <mergeCell ref="C97:D97"/>
    <mergeCell ref="G79:G80"/>
    <mergeCell ref="H79:H80"/>
    <mergeCell ref="G83:J84"/>
    <mergeCell ref="C93:D93"/>
    <mergeCell ref="C79:C80"/>
    <mergeCell ref="D79:D80"/>
    <mergeCell ref="H99:I99"/>
    <mergeCell ref="F99:G99"/>
    <mergeCell ref="H103:I103"/>
    <mergeCell ref="F104:G104"/>
    <mergeCell ref="H104:I104"/>
    <mergeCell ref="F101:G101"/>
    <mergeCell ref="H101:I101"/>
    <mergeCell ref="F102:G102"/>
    <mergeCell ref="H102:I102"/>
    <mergeCell ref="A166:K166"/>
    <mergeCell ref="F106:G106"/>
    <mergeCell ref="H100:I100"/>
    <mergeCell ref="F100:G100"/>
    <mergeCell ref="F105:G105"/>
    <mergeCell ref="A165:K165"/>
    <mergeCell ref="B161:B162"/>
    <mergeCell ref="C161:E162"/>
    <mergeCell ref="J157:J158"/>
    <mergeCell ref="K157:K158"/>
  </mergeCells>
  <phoneticPr fontId="0" type="noConversion"/>
  <hyperlinks>
    <hyperlink ref="A166:K166" location="ENTRAINEMENT!A1" display="Retour page ENTRAINEMENT"/>
  </hyperlinks>
  <printOptions horizontalCentered="1" verticalCentered="1"/>
  <pageMargins left="0.39370078740157483" right="0.39370078740157483" top="0.78740157480314965" bottom="0.78740157480314965" header="0.51181102362204722" footer="0.51181102362204722"/>
  <pageSetup paperSize="9" orientation="landscape" horizontalDpi="4294967294" verticalDpi="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sheetPr codeName="Feuil14"/>
  <dimension ref="A1:BC45"/>
  <sheetViews>
    <sheetView workbookViewId="0">
      <selection activeCell="A45" sqref="A45:N45"/>
    </sheetView>
  </sheetViews>
  <sheetFormatPr baseColWidth="10" defaultRowHeight="15.75"/>
  <cols>
    <col min="1" max="1" width="9.75" style="62" customWidth="1"/>
    <col min="2" max="2" width="6.875" customWidth="1"/>
    <col min="3" max="3" width="6.875" style="382" customWidth="1"/>
    <col min="4" max="4" width="6.875" customWidth="1"/>
    <col min="5" max="5" width="6.875" style="382" customWidth="1"/>
    <col min="6" max="6" width="6.875" customWidth="1"/>
    <col min="7" max="7" width="6.875" style="382" customWidth="1"/>
    <col min="8" max="8" width="6.875" customWidth="1"/>
    <col min="9" max="9" width="6.875" style="382" customWidth="1"/>
    <col min="10" max="10" width="6.875" customWidth="1"/>
    <col min="11" max="11" width="6.875" style="382" customWidth="1"/>
    <col min="12" max="12" width="6.875" customWidth="1"/>
    <col min="13" max="13" width="6.875" style="382" customWidth="1"/>
    <col min="14" max="14" width="7.625" bestFit="1" customWidth="1"/>
  </cols>
  <sheetData>
    <row r="1" spans="1:55" ht="19.5" thickBot="1">
      <c r="A1" s="630" t="s">
        <v>1102</v>
      </c>
      <c r="B1" s="631"/>
      <c r="C1" s="631"/>
      <c r="D1" s="631"/>
      <c r="E1" s="631"/>
      <c r="F1" s="631"/>
      <c r="G1" s="631"/>
      <c r="H1" s="631"/>
      <c r="I1" s="631"/>
      <c r="J1" s="631"/>
      <c r="K1" s="631"/>
      <c r="L1" s="631"/>
      <c r="M1" s="631"/>
      <c r="N1" s="632"/>
      <c r="AO1" s="912" t="s">
        <v>1100</v>
      </c>
      <c r="AP1" s="912"/>
      <c r="AQ1" s="912"/>
      <c r="AR1" s="912"/>
      <c r="AS1" s="912"/>
      <c r="AT1" s="912"/>
      <c r="AU1" s="912"/>
      <c r="AV1" s="912"/>
      <c r="AW1" s="912"/>
      <c r="AX1" s="912"/>
      <c r="AY1" s="912"/>
      <c r="AZ1" s="912"/>
      <c r="BA1" s="912"/>
      <c r="BB1" s="912"/>
      <c r="BC1" s="912"/>
    </row>
    <row r="3" spans="1:55">
      <c r="A3" s="917" t="s">
        <v>1101</v>
      </c>
      <c r="B3" s="915" t="s">
        <v>629</v>
      </c>
      <c r="C3" s="913" t="s">
        <v>630</v>
      </c>
      <c r="D3" s="915" t="s">
        <v>631</v>
      </c>
      <c r="E3" s="913" t="s">
        <v>632</v>
      </c>
      <c r="F3" s="915" t="s">
        <v>633</v>
      </c>
      <c r="G3" s="913" t="s">
        <v>634</v>
      </c>
      <c r="H3" s="915" t="s">
        <v>635</v>
      </c>
      <c r="I3" s="913" t="s">
        <v>636</v>
      </c>
      <c r="J3" s="915" t="s">
        <v>637</v>
      </c>
      <c r="K3" s="913" t="s">
        <v>638</v>
      </c>
      <c r="L3" s="915" t="s">
        <v>639</v>
      </c>
      <c r="M3" s="913" t="s">
        <v>640</v>
      </c>
      <c r="N3" s="915" t="s">
        <v>641</v>
      </c>
    </row>
    <row r="4" spans="1:55">
      <c r="A4" s="918"/>
      <c r="B4" s="916"/>
      <c r="C4" s="914"/>
      <c r="D4" s="916"/>
      <c r="E4" s="914"/>
      <c r="F4" s="916"/>
      <c r="G4" s="914"/>
      <c r="H4" s="916"/>
      <c r="I4" s="914"/>
      <c r="J4" s="916"/>
      <c r="K4" s="914"/>
      <c r="L4" s="916"/>
      <c r="M4" s="914"/>
      <c r="N4" s="916"/>
    </row>
    <row r="5" spans="1:55" ht="15.75" customHeight="1">
      <c r="A5" s="381" t="s">
        <v>642</v>
      </c>
      <c r="B5" s="380" t="s">
        <v>643</v>
      </c>
      <c r="C5" s="383" t="s">
        <v>644</v>
      </c>
      <c r="D5" s="380" t="s">
        <v>645</v>
      </c>
      <c r="E5" s="383" t="s">
        <v>646</v>
      </c>
      <c r="F5" s="380" t="s">
        <v>647</v>
      </c>
      <c r="G5" s="383" t="s">
        <v>648</v>
      </c>
      <c r="H5" s="380" t="s">
        <v>649</v>
      </c>
      <c r="I5" s="383" t="s">
        <v>650</v>
      </c>
      <c r="J5" s="380" t="s">
        <v>651</v>
      </c>
      <c r="K5" s="383" t="s">
        <v>652</v>
      </c>
      <c r="L5" s="380" t="s">
        <v>653</v>
      </c>
      <c r="M5" s="383" t="s">
        <v>654</v>
      </c>
      <c r="N5" s="384" t="s">
        <v>655</v>
      </c>
    </row>
    <row r="6" spans="1:55" ht="15.75" customHeight="1">
      <c r="A6" s="381" t="s">
        <v>656</v>
      </c>
      <c r="B6" s="380" t="s">
        <v>657</v>
      </c>
      <c r="C6" s="383" t="s">
        <v>658</v>
      </c>
      <c r="D6" s="380" t="s">
        <v>659</v>
      </c>
      <c r="E6" s="383" t="s">
        <v>660</v>
      </c>
      <c r="F6" s="380" t="s">
        <v>661</v>
      </c>
      <c r="G6" s="383" t="s">
        <v>662</v>
      </c>
      <c r="H6" s="380" t="s">
        <v>663</v>
      </c>
      <c r="I6" s="383" t="s">
        <v>664</v>
      </c>
      <c r="J6" s="380" t="s">
        <v>665</v>
      </c>
      <c r="K6" s="383" t="s">
        <v>666</v>
      </c>
      <c r="L6" s="380" t="s">
        <v>667</v>
      </c>
      <c r="M6" s="383" t="s">
        <v>668</v>
      </c>
      <c r="N6" s="384" t="s">
        <v>669</v>
      </c>
    </row>
    <row r="7" spans="1:55" ht="15.75" customHeight="1">
      <c r="A7" s="381" t="s">
        <v>670</v>
      </c>
      <c r="B7" s="380" t="s">
        <v>671</v>
      </c>
      <c r="C7" s="383" t="s">
        <v>672</v>
      </c>
      <c r="D7" s="380" t="s">
        <v>673</v>
      </c>
      <c r="E7" s="383" t="s">
        <v>674</v>
      </c>
      <c r="F7" s="380" t="s">
        <v>675</v>
      </c>
      <c r="G7" s="383" t="s">
        <v>676</v>
      </c>
      <c r="H7" s="380" t="s">
        <v>677</v>
      </c>
      <c r="I7" s="383" t="s">
        <v>678</v>
      </c>
      <c r="J7" s="380" t="s">
        <v>679</v>
      </c>
      <c r="K7" s="383" t="s">
        <v>680</v>
      </c>
      <c r="L7" s="380" t="s">
        <v>681</v>
      </c>
      <c r="M7" s="383" t="s">
        <v>682</v>
      </c>
      <c r="N7" s="384" t="s">
        <v>683</v>
      </c>
    </row>
    <row r="8" spans="1:55" ht="15.75" customHeight="1">
      <c r="A8" s="381" t="s">
        <v>684</v>
      </c>
      <c r="B8" s="380" t="s">
        <v>685</v>
      </c>
      <c r="C8" s="383" t="s">
        <v>686</v>
      </c>
      <c r="D8" s="380" t="s">
        <v>687</v>
      </c>
      <c r="E8" s="383" t="s">
        <v>688</v>
      </c>
      <c r="F8" s="380" t="s">
        <v>689</v>
      </c>
      <c r="G8" s="383" t="s">
        <v>690</v>
      </c>
      <c r="H8" s="380" t="s">
        <v>691</v>
      </c>
      <c r="I8" s="383" t="s">
        <v>692</v>
      </c>
      <c r="J8" s="380" t="s">
        <v>693</v>
      </c>
      <c r="K8" s="383" t="s">
        <v>694</v>
      </c>
      <c r="L8" s="380" t="s">
        <v>695</v>
      </c>
      <c r="M8" s="383" t="s">
        <v>696</v>
      </c>
      <c r="N8" s="384" t="s">
        <v>697</v>
      </c>
    </row>
    <row r="9" spans="1:55" ht="15.75" customHeight="1">
      <c r="A9" s="381" t="s">
        <v>698</v>
      </c>
      <c r="B9" s="380" t="s">
        <v>699</v>
      </c>
      <c r="C9" s="383" t="s">
        <v>700</v>
      </c>
      <c r="D9" s="380" t="s">
        <v>701</v>
      </c>
      <c r="E9" s="383" t="s">
        <v>702</v>
      </c>
      <c r="F9" s="380" t="s">
        <v>703</v>
      </c>
      <c r="G9" s="383" t="s">
        <v>704</v>
      </c>
      <c r="H9" s="380" t="s">
        <v>705</v>
      </c>
      <c r="I9" s="383" t="s">
        <v>706</v>
      </c>
      <c r="J9" s="380" t="s">
        <v>707</v>
      </c>
      <c r="K9" s="383" t="s">
        <v>708</v>
      </c>
      <c r="L9" s="380" t="s">
        <v>709</v>
      </c>
      <c r="M9" s="383" t="s">
        <v>710</v>
      </c>
      <c r="N9" s="384" t="s">
        <v>711</v>
      </c>
    </row>
    <row r="10" spans="1:55" ht="15.75" customHeight="1">
      <c r="A10" s="381" t="s">
        <v>712</v>
      </c>
      <c r="B10" s="380" t="s">
        <v>713</v>
      </c>
      <c r="C10" s="383" t="s">
        <v>714</v>
      </c>
      <c r="D10" s="380" t="s">
        <v>715</v>
      </c>
      <c r="E10" s="383" t="s">
        <v>716</v>
      </c>
      <c r="F10" s="380" t="s">
        <v>717</v>
      </c>
      <c r="G10" s="383" t="s">
        <v>718</v>
      </c>
      <c r="H10" s="380" t="s">
        <v>719</v>
      </c>
      <c r="I10" s="383" t="s">
        <v>720</v>
      </c>
      <c r="J10" s="380" t="s">
        <v>650</v>
      </c>
      <c r="K10" s="383" t="s">
        <v>721</v>
      </c>
      <c r="L10" s="380" t="s">
        <v>722</v>
      </c>
      <c r="M10" s="383" t="s">
        <v>723</v>
      </c>
      <c r="N10" s="384" t="s">
        <v>724</v>
      </c>
    </row>
    <row r="11" spans="1:55" ht="15.75" customHeight="1">
      <c r="A11" s="381" t="s">
        <v>725</v>
      </c>
      <c r="B11" s="380" t="s">
        <v>726</v>
      </c>
      <c r="C11" s="383" t="s">
        <v>727</v>
      </c>
      <c r="D11" s="380" t="s">
        <v>728</v>
      </c>
      <c r="E11" s="383" t="s">
        <v>729</v>
      </c>
      <c r="F11" s="380" t="s">
        <v>730</v>
      </c>
      <c r="G11" s="383" t="s">
        <v>731</v>
      </c>
      <c r="H11" s="380" t="s">
        <v>732</v>
      </c>
      <c r="I11" s="383" t="s">
        <v>733</v>
      </c>
      <c r="J11" s="380" t="s">
        <v>734</v>
      </c>
      <c r="K11" s="383" t="s">
        <v>735</v>
      </c>
      <c r="L11" s="380" t="s">
        <v>736</v>
      </c>
      <c r="M11" s="383" t="s">
        <v>737</v>
      </c>
      <c r="N11" s="384" t="s">
        <v>738</v>
      </c>
    </row>
    <row r="12" spans="1:55" ht="15.75" customHeight="1">
      <c r="A12" s="381" t="s">
        <v>739</v>
      </c>
      <c r="B12" s="380" t="s">
        <v>740</v>
      </c>
      <c r="C12" s="383" t="s">
        <v>741</v>
      </c>
      <c r="D12" s="380" t="s">
        <v>742</v>
      </c>
      <c r="E12" s="383" t="s">
        <v>743</v>
      </c>
      <c r="F12" s="380" t="s">
        <v>744</v>
      </c>
      <c r="G12" s="383" t="s">
        <v>745</v>
      </c>
      <c r="H12" s="380" t="s">
        <v>746</v>
      </c>
      <c r="I12" s="383" t="s">
        <v>747</v>
      </c>
      <c r="J12" s="380" t="s">
        <v>748</v>
      </c>
      <c r="K12" s="383" t="s">
        <v>749</v>
      </c>
      <c r="L12" s="380" t="s">
        <v>750</v>
      </c>
      <c r="M12" s="383" t="s">
        <v>751</v>
      </c>
      <c r="N12" s="384" t="s">
        <v>752</v>
      </c>
    </row>
    <row r="13" spans="1:55" ht="15.75" customHeight="1">
      <c r="A13" s="381" t="s">
        <v>753</v>
      </c>
      <c r="B13" s="380" t="s">
        <v>754</v>
      </c>
      <c r="C13" s="383" t="s">
        <v>755</v>
      </c>
      <c r="D13" s="380" t="s">
        <v>756</v>
      </c>
      <c r="E13" s="383" t="s">
        <v>757</v>
      </c>
      <c r="F13" s="380" t="s">
        <v>758</v>
      </c>
      <c r="G13" s="383" t="s">
        <v>759</v>
      </c>
      <c r="H13" s="380" t="s">
        <v>760</v>
      </c>
      <c r="I13" s="383" t="s">
        <v>761</v>
      </c>
      <c r="J13" s="380" t="s">
        <v>762</v>
      </c>
      <c r="K13" s="383" t="s">
        <v>763</v>
      </c>
      <c r="L13" s="380" t="s">
        <v>764</v>
      </c>
      <c r="M13" s="383" t="s">
        <v>765</v>
      </c>
      <c r="N13" s="384" t="s">
        <v>766</v>
      </c>
    </row>
    <row r="14" spans="1:55" ht="15.75" customHeight="1">
      <c r="A14" s="381" t="s">
        <v>767</v>
      </c>
      <c r="B14" s="380" t="s">
        <v>768</v>
      </c>
      <c r="C14" s="383" t="s">
        <v>769</v>
      </c>
      <c r="D14" s="380" t="s">
        <v>770</v>
      </c>
      <c r="E14" s="383" t="s">
        <v>771</v>
      </c>
      <c r="F14" s="380" t="s">
        <v>646</v>
      </c>
      <c r="G14" s="383" t="s">
        <v>772</v>
      </c>
      <c r="H14" s="380" t="s">
        <v>690</v>
      </c>
      <c r="I14" s="383" t="s">
        <v>773</v>
      </c>
      <c r="J14" s="380" t="s">
        <v>774</v>
      </c>
      <c r="K14" s="383" t="s">
        <v>650</v>
      </c>
      <c r="L14" s="380" t="s">
        <v>775</v>
      </c>
      <c r="M14" s="383" t="s">
        <v>776</v>
      </c>
      <c r="N14" s="384" t="s">
        <v>777</v>
      </c>
    </row>
    <row r="15" spans="1:55" ht="15.75" customHeight="1">
      <c r="A15" s="381" t="s">
        <v>778</v>
      </c>
      <c r="B15" s="380" t="s">
        <v>779</v>
      </c>
      <c r="C15" s="383" t="s">
        <v>780</v>
      </c>
      <c r="D15" s="380" t="s">
        <v>781</v>
      </c>
      <c r="E15" s="383" t="s">
        <v>782</v>
      </c>
      <c r="F15" s="380" t="s">
        <v>783</v>
      </c>
      <c r="G15" s="383" t="s">
        <v>689</v>
      </c>
      <c r="H15" s="380" t="s">
        <v>784</v>
      </c>
      <c r="I15" s="383" t="s">
        <v>785</v>
      </c>
      <c r="J15" s="380" t="s">
        <v>786</v>
      </c>
      <c r="K15" s="383" t="s">
        <v>787</v>
      </c>
      <c r="L15" s="380" t="s">
        <v>788</v>
      </c>
      <c r="M15" s="383" t="s">
        <v>789</v>
      </c>
      <c r="N15" s="384" t="s">
        <v>790</v>
      </c>
    </row>
    <row r="16" spans="1:55" ht="15.75" customHeight="1">
      <c r="A16" s="381" t="s">
        <v>791</v>
      </c>
      <c r="B16" s="380" t="s">
        <v>792</v>
      </c>
      <c r="C16" s="383" t="s">
        <v>793</v>
      </c>
      <c r="D16" s="380" t="s">
        <v>794</v>
      </c>
      <c r="E16" s="383" t="s">
        <v>795</v>
      </c>
      <c r="F16" s="380" t="s">
        <v>796</v>
      </c>
      <c r="G16" s="383" t="s">
        <v>797</v>
      </c>
      <c r="H16" s="380" t="s">
        <v>798</v>
      </c>
      <c r="I16" s="383" t="s">
        <v>799</v>
      </c>
      <c r="J16" s="380" t="s">
        <v>800</v>
      </c>
      <c r="K16" s="383" t="s">
        <v>801</v>
      </c>
      <c r="L16" s="380" t="s">
        <v>802</v>
      </c>
      <c r="M16" s="383" t="s">
        <v>803</v>
      </c>
      <c r="N16" s="384" t="s">
        <v>804</v>
      </c>
    </row>
    <row r="17" spans="1:14" ht="15.75" customHeight="1">
      <c r="A17" s="381" t="s">
        <v>805</v>
      </c>
      <c r="B17" s="380" t="s">
        <v>806</v>
      </c>
      <c r="C17" s="383" t="s">
        <v>807</v>
      </c>
      <c r="D17" s="380" t="s">
        <v>808</v>
      </c>
      <c r="E17" s="383" t="s">
        <v>659</v>
      </c>
      <c r="F17" s="380" t="s">
        <v>809</v>
      </c>
      <c r="G17" s="383" t="s">
        <v>810</v>
      </c>
      <c r="H17" s="380" t="s">
        <v>811</v>
      </c>
      <c r="I17" s="383" t="s">
        <v>812</v>
      </c>
      <c r="J17" s="380" t="s">
        <v>813</v>
      </c>
      <c r="K17" s="383" t="s">
        <v>814</v>
      </c>
      <c r="L17" s="380" t="s">
        <v>815</v>
      </c>
      <c r="M17" s="383" t="s">
        <v>667</v>
      </c>
      <c r="N17" s="384" t="s">
        <v>816</v>
      </c>
    </row>
    <row r="18" spans="1:14" ht="15.75" customHeight="1">
      <c r="A18" s="381" t="s">
        <v>817</v>
      </c>
      <c r="B18" s="380" t="s">
        <v>818</v>
      </c>
      <c r="C18" s="383" t="s">
        <v>819</v>
      </c>
      <c r="D18" s="380" t="s">
        <v>820</v>
      </c>
      <c r="E18" s="383" t="s">
        <v>821</v>
      </c>
      <c r="F18" s="380" t="s">
        <v>716</v>
      </c>
      <c r="G18" s="383" t="s">
        <v>822</v>
      </c>
      <c r="H18" s="380" t="s">
        <v>823</v>
      </c>
      <c r="I18" s="383" t="s">
        <v>824</v>
      </c>
      <c r="J18" s="380" t="s">
        <v>773</v>
      </c>
      <c r="K18" s="383" t="s">
        <v>720</v>
      </c>
      <c r="L18" s="380" t="s">
        <v>825</v>
      </c>
      <c r="M18" s="383" t="s">
        <v>826</v>
      </c>
      <c r="N18" s="384" t="s">
        <v>827</v>
      </c>
    </row>
    <row r="19" spans="1:14" ht="15.75" customHeight="1">
      <c r="A19" s="381" t="s">
        <v>828</v>
      </c>
      <c r="B19" s="380" t="s">
        <v>829</v>
      </c>
      <c r="C19" s="383" t="s">
        <v>830</v>
      </c>
      <c r="D19" s="380" t="s">
        <v>831</v>
      </c>
      <c r="E19" s="383" t="s">
        <v>832</v>
      </c>
      <c r="F19" s="380" t="s">
        <v>833</v>
      </c>
      <c r="G19" s="383" t="s">
        <v>834</v>
      </c>
      <c r="H19" s="380" t="s">
        <v>835</v>
      </c>
      <c r="I19" s="383" t="s">
        <v>836</v>
      </c>
      <c r="J19" s="380" t="s">
        <v>837</v>
      </c>
      <c r="K19" s="383" t="s">
        <v>838</v>
      </c>
      <c r="L19" s="380" t="s">
        <v>839</v>
      </c>
      <c r="M19" s="383" t="s">
        <v>840</v>
      </c>
      <c r="N19" s="384" t="s">
        <v>841</v>
      </c>
    </row>
    <row r="20" spans="1:14" ht="15.75" customHeight="1">
      <c r="A20" s="381" t="s">
        <v>842</v>
      </c>
      <c r="B20" s="380" t="s">
        <v>843</v>
      </c>
      <c r="C20" s="383" t="s">
        <v>844</v>
      </c>
      <c r="D20" s="380" t="s">
        <v>644</v>
      </c>
      <c r="E20" s="383" t="s">
        <v>715</v>
      </c>
      <c r="F20" s="380" t="s">
        <v>845</v>
      </c>
      <c r="G20" s="383" t="s">
        <v>646</v>
      </c>
      <c r="H20" s="380" t="s">
        <v>689</v>
      </c>
      <c r="I20" s="383" t="s">
        <v>846</v>
      </c>
      <c r="J20" s="380" t="s">
        <v>847</v>
      </c>
      <c r="K20" s="383" t="s">
        <v>848</v>
      </c>
      <c r="L20" s="380" t="s">
        <v>652</v>
      </c>
      <c r="M20" s="383" t="s">
        <v>722</v>
      </c>
      <c r="N20" s="384" t="s">
        <v>849</v>
      </c>
    </row>
    <row r="21" spans="1:14" ht="15.75" customHeight="1">
      <c r="A21" s="381" t="s">
        <v>850</v>
      </c>
      <c r="B21" s="380" t="s">
        <v>851</v>
      </c>
      <c r="C21" s="383" t="s">
        <v>852</v>
      </c>
      <c r="D21" s="380" t="s">
        <v>853</v>
      </c>
      <c r="E21" s="383" t="s">
        <v>854</v>
      </c>
      <c r="F21" s="380" t="s">
        <v>855</v>
      </c>
      <c r="G21" s="383" t="s">
        <v>856</v>
      </c>
      <c r="H21" s="380" t="s">
        <v>857</v>
      </c>
      <c r="I21" s="383" t="s">
        <v>858</v>
      </c>
      <c r="J21" s="380" t="s">
        <v>859</v>
      </c>
      <c r="K21" s="383" t="s">
        <v>860</v>
      </c>
      <c r="L21" s="380" t="s">
        <v>861</v>
      </c>
      <c r="M21" s="383" t="s">
        <v>862</v>
      </c>
      <c r="N21" s="384" t="s">
        <v>863</v>
      </c>
    </row>
    <row r="22" spans="1:14" ht="15.75" customHeight="1">
      <c r="A22" s="381" t="s">
        <v>864</v>
      </c>
      <c r="B22" s="380" t="s">
        <v>865</v>
      </c>
      <c r="C22" s="383" t="s">
        <v>866</v>
      </c>
      <c r="D22" s="380" t="s">
        <v>686</v>
      </c>
      <c r="E22" s="383" t="s">
        <v>867</v>
      </c>
      <c r="F22" s="380" t="s">
        <v>782</v>
      </c>
      <c r="G22" s="383" t="s">
        <v>688</v>
      </c>
      <c r="H22" s="380" t="s">
        <v>868</v>
      </c>
      <c r="I22" s="383" t="s">
        <v>869</v>
      </c>
      <c r="J22" s="380" t="s">
        <v>870</v>
      </c>
      <c r="K22" s="383" t="s">
        <v>785</v>
      </c>
      <c r="L22" s="380" t="s">
        <v>694</v>
      </c>
      <c r="M22" s="383" t="s">
        <v>871</v>
      </c>
      <c r="N22" s="384" t="s">
        <v>872</v>
      </c>
    </row>
    <row r="23" spans="1:14" ht="15.75" customHeight="1">
      <c r="A23" s="381" t="s">
        <v>873</v>
      </c>
      <c r="B23" s="380" t="s">
        <v>874</v>
      </c>
      <c r="C23" s="383" t="s">
        <v>875</v>
      </c>
      <c r="D23" s="380" t="s">
        <v>876</v>
      </c>
      <c r="E23" s="383" t="s">
        <v>770</v>
      </c>
      <c r="F23" s="380" t="s">
        <v>877</v>
      </c>
      <c r="G23" s="383" t="s">
        <v>878</v>
      </c>
      <c r="H23" s="380" t="s">
        <v>879</v>
      </c>
      <c r="I23" s="383" t="s">
        <v>880</v>
      </c>
      <c r="J23" s="380" t="s">
        <v>881</v>
      </c>
      <c r="K23" s="383" t="s">
        <v>847</v>
      </c>
      <c r="L23" s="380" t="s">
        <v>882</v>
      </c>
      <c r="M23" s="383" t="s">
        <v>883</v>
      </c>
      <c r="N23" s="384" t="s">
        <v>884</v>
      </c>
    </row>
    <row r="24" spans="1:14" ht="15.75" customHeight="1">
      <c r="A24" s="381" t="s">
        <v>885</v>
      </c>
      <c r="B24" s="380" t="s">
        <v>886</v>
      </c>
      <c r="C24" s="383" t="s">
        <v>887</v>
      </c>
      <c r="D24" s="380" t="s">
        <v>888</v>
      </c>
      <c r="E24" s="383" t="s">
        <v>889</v>
      </c>
      <c r="F24" s="380" t="s">
        <v>890</v>
      </c>
      <c r="G24" s="383" t="s">
        <v>891</v>
      </c>
      <c r="H24" s="380" t="s">
        <v>892</v>
      </c>
      <c r="I24" s="383" t="s">
        <v>893</v>
      </c>
      <c r="J24" s="380" t="s">
        <v>894</v>
      </c>
      <c r="K24" s="383" t="s">
        <v>895</v>
      </c>
      <c r="L24" s="380" t="s">
        <v>896</v>
      </c>
      <c r="M24" s="383" t="s">
        <v>897</v>
      </c>
      <c r="N24" s="384" t="s">
        <v>898</v>
      </c>
    </row>
    <row r="25" spans="1:14" ht="15.75" customHeight="1">
      <c r="A25" s="381" t="s">
        <v>899</v>
      </c>
      <c r="B25" s="380" t="s">
        <v>900</v>
      </c>
      <c r="C25" s="383" t="s">
        <v>901</v>
      </c>
      <c r="D25" s="380" t="s">
        <v>727</v>
      </c>
      <c r="E25" s="383" t="s">
        <v>902</v>
      </c>
      <c r="F25" s="380" t="s">
        <v>903</v>
      </c>
      <c r="G25" s="383" t="s">
        <v>729</v>
      </c>
      <c r="H25" s="380" t="s">
        <v>904</v>
      </c>
      <c r="I25" s="383" t="s">
        <v>905</v>
      </c>
      <c r="J25" s="380" t="s">
        <v>906</v>
      </c>
      <c r="K25" s="383" t="s">
        <v>907</v>
      </c>
      <c r="L25" s="380" t="s">
        <v>735</v>
      </c>
      <c r="M25" s="383" t="s">
        <v>908</v>
      </c>
      <c r="N25" s="384" t="s">
        <v>909</v>
      </c>
    </row>
    <row r="26" spans="1:14" ht="15.75" customHeight="1">
      <c r="A26" s="381" t="s">
        <v>910</v>
      </c>
      <c r="B26" s="380" t="s">
        <v>911</v>
      </c>
      <c r="C26" s="383" t="s">
        <v>912</v>
      </c>
      <c r="D26" s="380" t="s">
        <v>913</v>
      </c>
      <c r="E26" s="383" t="s">
        <v>794</v>
      </c>
      <c r="F26" s="380" t="s">
        <v>914</v>
      </c>
      <c r="G26" s="383" t="s">
        <v>915</v>
      </c>
      <c r="H26" s="380" t="s">
        <v>916</v>
      </c>
      <c r="I26" s="383" t="s">
        <v>917</v>
      </c>
      <c r="J26" s="380" t="s">
        <v>918</v>
      </c>
      <c r="K26" s="383" t="s">
        <v>919</v>
      </c>
      <c r="L26" s="380" t="s">
        <v>920</v>
      </c>
      <c r="M26" s="383" t="s">
        <v>802</v>
      </c>
      <c r="N26" s="384" t="s">
        <v>921</v>
      </c>
    </row>
    <row r="27" spans="1:14" ht="15.75" customHeight="1">
      <c r="A27" s="381" t="s">
        <v>922</v>
      </c>
      <c r="B27" s="380" t="s">
        <v>923</v>
      </c>
      <c r="C27" s="383" t="s">
        <v>924</v>
      </c>
      <c r="D27" s="380" t="s">
        <v>925</v>
      </c>
      <c r="E27" s="383" t="s">
        <v>926</v>
      </c>
      <c r="F27" s="380" t="s">
        <v>927</v>
      </c>
      <c r="G27" s="383" t="s">
        <v>845</v>
      </c>
      <c r="H27" s="380" t="s">
        <v>783</v>
      </c>
      <c r="I27" s="383" t="s">
        <v>928</v>
      </c>
      <c r="J27" s="380" t="s">
        <v>929</v>
      </c>
      <c r="K27" s="383" t="s">
        <v>930</v>
      </c>
      <c r="L27" s="380" t="s">
        <v>931</v>
      </c>
      <c r="M27" s="383" t="s">
        <v>932</v>
      </c>
      <c r="N27" s="384" t="s">
        <v>933</v>
      </c>
    </row>
    <row r="28" spans="1:14" ht="15.75" customHeight="1">
      <c r="A28" s="381" t="s">
        <v>934</v>
      </c>
      <c r="B28" s="380" t="s">
        <v>935</v>
      </c>
      <c r="C28" s="383" t="s">
        <v>936</v>
      </c>
      <c r="D28" s="380" t="s">
        <v>937</v>
      </c>
      <c r="E28" s="383" t="s">
        <v>938</v>
      </c>
      <c r="F28" s="380" t="s">
        <v>939</v>
      </c>
      <c r="G28" s="383" t="s">
        <v>940</v>
      </c>
      <c r="H28" s="380" t="s">
        <v>941</v>
      </c>
      <c r="I28" s="383" t="s">
        <v>942</v>
      </c>
      <c r="J28" s="380" t="s">
        <v>943</v>
      </c>
      <c r="K28" s="383" t="s">
        <v>944</v>
      </c>
      <c r="L28" s="380" t="s">
        <v>945</v>
      </c>
      <c r="M28" s="383" t="s">
        <v>946</v>
      </c>
      <c r="N28" s="384" t="s">
        <v>947</v>
      </c>
    </row>
    <row r="29" spans="1:14" ht="15.75" customHeight="1">
      <c r="A29" s="381" t="s">
        <v>948</v>
      </c>
      <c r="B29" s="380" t="s">
        <v>949</v>
      </c>
      <c r="C29" s="383" t="s">
        <v>950</v>
      </c>
      <c r="D29" s="380" t="s">
        <v>769</v>
      </c>
      <c r="E29" s="383" t="s">
        <v>820</v>
      </c>
      <c r="F29" s="380" t="s">
        <v>715</v>
      </c>
      <c r="G29" s="383" t="s">
        <v>771</v>
      </c>
      <c r="H29" s="380" t="s">
        <v>688</v>
      </c>
      <c r="I29" s="383" t="s">
        <v>951</v>
      </c>
      <c r="J29" s="380" t="s">
        <v>880</v>
      </c>
      <c r="K29" s="383" t="s">
        <v>846</v>
      </c>
      <c r="L29" s="380" t="s">
        <v>650</v>
      </c>
      <c r="M29" s="383" t="s">
        <v>825</v>
      </c>
      <c r="N29" s="384" t="s">
        <v>952</v>
      </c>
    </row>
    <row r="30" spans="1:14" ht="15.75" customHeight="1">
      <c r="A30" s="381" t="s">
        <v>953</v>
      </c>
      <c r="B30" s="380" t="s">
        <v>954</v>
      </c>
      <c r="C30" s="383" t="s">
        <v>955</v>
      </c>
      <c r="D30" s="380" t="s">
        <v>956</v>
      </c>
      <c r="E30" s="383" t="s">
        <v>957</v>
      </c>
      <c r="F30" s="380" t="s">
        <v>958</v>
      </c>
      <c r="G30" s="383" t="s">
        <v>959</v>
      </c>
      <c r="H30" s="380" t="s">
        <v>960</v>
      </c>
      <c r="I30" s="383" t="s">
        <v>961</v>
      </c>
      <c r="J30" s="380" t="s">
        <v>962</v>
      </c>
      <c r="K30" s="383" t="s">
        <v>963</v>
      </c>
      <c r="L30" s="380" t="s">
        <v>964</v>
      </c>
      <c r="M30" s="383" t="s">
        <v>965</v>
      </c>
      <c r="N30" s="384" t="s">
        <v>966</v>
      </c>
    </row>
    <row r="31" spans="1:14" ht="15.75" customHeight="1">
      <c r="A31" s="381" t="s">
        <v>967</v>
      </c>
      <c r="B31" s="380" t="s">
        <v>968</v>
      </c>
      <c r="C31" s="383" t="s">
        <v>969</v>
      </c>
      <c r="D31" s="380" t="s">
        <v>970</v>
      </c>
      <c r="E31" s="383" t="s">
        <v>971</v>
      </c>
      <c r="F31" s="380" t="s">
        <v>972</v>
      </c>
      <c r="G31" s="383" t="s">
        <v>973</v>
      </c>
      <c r="H31" s="380" t="s">
        <v>974</v>
      </c>
      <c r="I31" s="383" t="s">
        <v>975</v>
      </c>
      <c r="J31" s="380" t="s">
        <v>976</v>
      </c>
      <c r="K31" s="383" t="s">
        <v>977</v>
      </c>
      <c r="L31" s="380" t="s">
        <v>978</v>
      </c>
      <c r="M31" s="383" t="s">
        <v>979</v>
      </c>
      <c r="N31" s="384" t="s">
        <v>980</v>
      </c>
    </row>
    <row r="32" spans="1:14" ht="15.75" customHeight="1">
      <c r="A32" s="381" t="s">
        <v>981</v>
      </c>
      <c r="B32" s="380" t="s">
        <v>982</v>
      </c>
      <c r="C32" s="383" t="s">
        <v>983</v>
      </c>
      <c r="D32" s="380" t="s">
        <v>984</v>
      </c>
      <c r="E32" s="383" t="s">
        <v>644</v>
      </c>
      <c r="F32" s="380" t="s">
        <v>985</v>
      </c>
      <c r="G32" s="383" t="s">
        <v>877</v>
      </c>
      <c r="H32" s="380" t="s">
        <v>986</v>
      </c>
      <c r="I32" s="383" t="s">
        <v>987</v>
      </c>
      <c r="J32" s="380" t="s">
        <v>988</v>
      </c>
      <c r="K32" s="383" t="s">
        <v>929</v>
      </c>
      <c r="L32" s="380" t="s">
        <v>989</v>
      </c>
      <c r="M32" s="383" t="s">
        <v>652</v>
      </c>
      <c r="N32" s="384" t="s">
        <v>990</v>
      </c>
    </row>
    <row r="33" spans="1:14" ht="15.75" customHeight="1">
      <c r="A33" s="381" t="s">
        <v>991</v>
      </c>
      <c r="B33" s="380" t="s">
        <v>992</v>
      </c>
      <c r="C33" s="383" t="s">
        <v>993</v>
      </c>
      <c r="D33" s="380" t="s">
        <v>807</v>
      </c>
      <c r="E33" s="383" t="s">
        <v>658</v>
      </c>
      <c r="F33" s="380" t="s">
        <v>994</v>
      </c>
      <c r="G33" s="383" t="s">
        <v>659</v>
      </c>
      <c r="H33" s="380" t="s">
        <v>995</v>
      </c>
      <c r="I33" s="383" t="s">
        <v>996</v>
      </c>
      <c r="J33" s="380" t="s">
        <v>997</v>
      </c>
      <c r="K33" s="383" t="s">
        <v>998</v>
      </c>
      <c r="L33" s="380" t="s">
        <v>814</v>
      </c>
      <c r="M33" s="383" t="s">
        <v>666</v>
      </c>
      <c r="N33" s="384" t="s">
        <v>999</v>
      </c>
    </row>
    <row r="34" spans="1:14" ht="15.75" customHeight="1">
      <c r="A34" s="381" t="s">
        <v>1000</v>
      </c>
      <c r="B34" s="380" t="s">
        <v>1001</v>
      </c>
      <c r="C34" s="383" t="s">
        <v>1002</v>
      </c>
      <c r="D34" s="380" t="s">
        <v>1003</v>
      </c>
      <c r="E34" s="383" t="s">
        <v>672</v>
      </c>
      <c r="F34" s="380" t="s">
        <v>1004</v>
      </c>
      <c r="G34" s="383" t="s">
        <v>673</v>
      </c>
      <c r="H34" s="380" t="s">
        <v>1005</v>
      </c>
      <c r="I34" s="383" t="s">
        <v>1006</v>
      </c>
      <c r="J34" s="380" t="s">
        <v>1007</v>
      </c>
      <c r="K34" s="383" t="s">
        <v>1008</v>
      </c>
      <c r="L34" s="380" t="s">
        <v>1009</v>
      </c>
      <c r="M34" s="383" t="s">
        <v>680</v>
      </c>
      <c r="N34" s="384" t="s">
        <v>1010</v>
      </c>
    </row>
    <row r="35" spans="1:14" ht="15.75" customHeight="1">
      <c r="A35" s="381" t="s">
        <v>1011</v>
      </c>
      <c r="B35" s="380" t="s">
        <v>1012</v>
      </c>
      <c r="C35" s="383" t="s">
        <v>1013</v>
      </c>
      <c r="D35" s="380" t="s">
        <v>1014</v>
      </c>
      <c r="E35" s="383" t="s">
        <v>686</v>
      </c>
      <c r="F35" s="380" t="s">
        <v>781</v>
      </c>
      <c r="G35" s="383" t="s">
        <v>687</v>
      </c>
      <c r="H35" s="380" t="s">
        <v>940</v>
      </c>
      <c r="I35" s="383" t="s">
        <v>1015</v>
      </c>
      <c r="J35" s="380" t="s">
        <v>1016</v>
      </c>
      <c r="K35" s="383" t="s">
        <v>1017</v>
      </c>
      <c r="L35" s="380" t="s">
        <v>786</v>
      </c>
      <c r="M35" s="383" t="s">
        <v>694</v>
      </c>
      <c r="N35" s="384" t="s">
        <v>1018</v>
      </c>
    </row>
    <row r="36" spans="1:14" ht="15.75" customHeight="1">
      <c r="A36" s="381" t="s">
        <v>1019</v>
      </c>
      <c r="B36" s="380" t="s">
        <v>1020</v>
      </c>
      <c r="C36" s="383" t="s">
        <v>1021</v>
      </c>
      <c r="D36" s="380" t="s">
        <v>1022</v>
      </c>
      <c r="E36" s="383" t="s">
        <v>700</v>
      </c>
      <c r="F36" s="380" t="s">
        <v>1023</v>
      </c>
      <c r="G36" s="383" t="s">
        <v>701</v>
      </c>
      <c r="H36" s="380" t="s">
        <v>1024</v>
      </c>
      <c r="I36" s="383" t="s">
        <v>1025</v>
      </c>
      <c r="J36" s="380" t="s">
        <v>1026</v>
      </c>
      <c r="K36" s="383" t="s">
        <v>1027</v>
      </c>
      <c r="L36" s="380" t="s">
        <v>1028</v>
      </c>
      <c r="M36" s="383" t="s">
        <v>708</v>
      </c>
      <c r="N36" s="384" t="s">
        <v>1029</v>
      </c>
    </row>
    <row r="37" spans="1:14" ht="15.75" customHeight="1">
      <c r="A37" s="381" t="s">
        <v>1030</v>
      </c>
      <c r="B37" s="380" t="s">
        <v>1031</v>
      </c>
      <c r="C37" s="383" t="s">
        <v>1032</v>
      </c>
      <c r="D37" s="380" t="s">
        <v>844</v>
      </c>
      <c r="E37" s="383" t="s">
        <v>714</v>
      </c>
      <c r="F37" s="380" t="s">
        <v>926</v>
      </c>
      <c r="G37" s="383" t="s">
        <v>715</v>
      </c>
      <c r="H37" s="380" t="s">
        <v>782</v>
      </c>
      <c r="I37" s="383" t="s">
        <v>1033</v>
      </c>
      <c r="J37" s="380" t="s">
        <v>987</v>
      </c>
      <c r="K37" s="383" t="s">
        <v>928</v>
      </c>
      <c r="L37" s="380" t="s">
        <v>848</v>
      </c>
      <c r="M37" s="383" t="s">
        <v>721</v>
      </c>
      <c r="N37" s="384" t="s">
        <v>1034</v>
      </c>
    </row>
    <row r="38" spans="1:14" ht="15.75" customHeight="1">
      <c r="A38" s="381" t="s">
        <v>1035</v>
      </c>
      <c r="B38" s="380" t="s">
        <v>1036</v>
      </c>
      <c r="C38" s="383" t="s">
        <v>1037</v>
      </c>
      <c r="D38" s="380" t="s">
        <v>1038</v>
      </c>
      <c r="E38" s="383" t="s">
        <v>727</v>
      </c>
      <c r="F38" s="380" t="s">
        <v>1039</v>
      </c>
      <c r="G38" s="383" t="s">
        <v>728</v>
      </c>
      <c r="H38" s="380" t="s">
        <v>1040</v>
      </c>
      <c r="I38" s="383" t="s">
        <v>1041</v>
      </c>
      <c r="J38" s="380" t="s">
        <v>1042</v>
      </c>
      <c r="K38" s="383" t="s">
        <v>1043</v>
      </c>
      <c r="L38" s="380" t="s">
        <v>1044</v>
      </c>
      <c r="M38" s="383" t="s">
        <v>735</v>
      </c>
      <c r="N38" s="384" t="s">
        <v>1045</v>
      </c>
    </row>
    <row r="39" spans="1:14" ht="15.75" customHeight="1">
      <c r="A39" s="381" t="s">
        <v>1046</v>
      </c>
      <c r="B39" s="380" t="s">
        <v>1047</v>
      </c>
      <c r="C39" s="383" t="s">
        <v>1048</v>
      </c>
      <c r="D39" s="380" t="s">
        <v>1049</v>
      </c>
      <c r="E39" s="383" t="s">
        <v>1050</v>
      </c>
      <c r="F39" s="380" t="s">
        <v>1051</v>
      </c>
      <c r="G39" s="383" t="s">
        <v>742</v>
      </c>
      <c r="H39" s="380" t="s">
        <v>1052</v>
      </c>
      <c r="I39" s="383" t="s">
        <v>1053</v>
      </c>
      <c r="J39" s="380" t="s">
        <v>1054</v>
      </c>
      <c r="K39" s="383" t="s">
        <v>1055</v>
      </c>
      <c r="L39" s="380" t="s">
        <v>1056</v>
      </c>
      <c r="M39" s="383" t="s">
        <v>749</v>
      </c>
      <c r="N39" s="384" t="s">
        <v>1057</v>
      </c>
    </row>
    <row r="40" spans="1:14" ht="15.75" customHeight="1">
      <c r="A40" s="381" t="s">
        <v>1058</v>
      </c>
      <c r="B40" s="380" t="s">
        <v>1059</v>
      </c>
      <c r="C40" s="383" t="s">
        <v>1060</v>
      </c>
      <c r="D40" s="380" t="s">
        <v>1061</v>
      </c>
      <c r="E40" s="383" t="s">
        <v>925</v>
      </c>
      <c r="F40" s="380" t="s">
        <v>1062</v>
      </c>
      <c r="G40" s="383" t="s">
        <v>985</v>
      </c>
      <c r="H40" s="380" t="s">
        <v>1063</v>
      </c>
      <c r="I40" s="383" t="s">
        <v>1064</v>
      </c>
      <c r="J40" s="380" t="s">
        <v>1065</v>
      </c>
      <c r="K40" s="383" t="s">
        <v>1066</v>
      </c>
      <c r="L40" s="380" t="s">
        <v>1067</v>
      </c>
      <c r="M40" s="383" t="s">
        <v>931</v>
      </c>
      <c r="N40" s="384" t="s">
        <v>1068</v>
      </c>
    </row>
    <row r="41" spans="1:14" ht="15.75" customHeight="1">
      <c r="A41" s="381" t="s">
        <v>1069</v>
      </c>
      <c r="B41" s="380" t="s">
        <v>1070</v>
      </c>
      <c r="C41" s="383" t="s">
        <v>1071</v>
      </c>
      <c r="D41" s="380" t="s">
        <v>1072</v>
      </c>
      <c r="E41" s="383" t="s">
        <v>1073</v>
      </c>
      <c r="F41" s="380" t="s">
        <v>1074</v>
      </c>
      <c r="G41" s="383" t="s">
        <v>756</v>
      </c>
      <c r="H41" s="380" t="s">
        <v>1075</v>
      </c>
      <c r="I41" s="383" t="s">
        <v>1076</v>
      </c>
      <c r="J41" s="380" t="s">
        <v>1077</v>
      </c>
      <c r="K41" s="383" t="s">
        <v>1078</v>
      </c>
      <c r="L41" s="380" t="s">
        <v>1079</v>
      </c>
      <c r="M41" s="383" t="s">
        <v>763</v>
      </c>
      <c r="N41" s="384" t="s">
        <v>1080</v>
      </c>
    </row>
    <row r="42" spans="1:14" ht="15.75" customHeight="1">
      <c r="A42" s="381" t="s">
        <v>1081</v>
      </c>
      <c r="B42" s="380" t="s">
        <v>1082</v>
      </c>
      <c r="C42" s="383" t="s">
        <v>1083</v>
      </c>
      <c r="D42" s="380" t="s">
        <v>1084</v>
      </c>
      <c r="E42" s="383" t="s">
        <v>1085</v>
      </c>
      <c r="F42" s="380" t="s">
        <v>1086</v>
      </c>
      <c r="G42" s="383" t="s">
        <v>1087</v>
      </c>
      <c r="H42" s="380" t="s">
        <v>1088</v>
      </c>
      <c r="I42" s="383" t="s">
        <v>1089</v>
      </c>
      <c r="J42" s="380" t="s">
        <v>1090</v>
      </c>
      <c r="K42" s="383" t="s">
        <v>1091</v>
      </c>
      <c r="L42" s="380" t="s">
        <v>1092</v>
      </c>
      <c r="M42" s="383" t="s">
        <v>1093</v>
      </c>
      <c r="N42" s="384" t="s">
        <v>1094</v>
      </c>
    </row>
    <row r="43" spans="1:14" ht="15.75" customHeight="1">
      <c r="A43" s="381" t="s">
        <v>1095</v>
      </c>
      <c r="B43" s="380" t="s">
        <v>46</v>
      </c>
      <c r="C43" s="383" t="s">
        <v>1096</v>
      </c>
      <c r="D43" s="380" t="s">
        <v>875</v>
      </c>
      <c r="E43" s="383" t="s">
        <v>769</v>
      </c>
      <c r="F43" s="380" t="s">
        <v>644</v>
      </c>
      <c r="G43" s="383" t="s">
        <v>770</v>
      </c>
      <c r="H43" s="380" t="s">
        <v>687</v>
      </c>
      <c r="I43" s="383" t="s">
        <v>1097</v>
      </c>
      <c r="J43" s="380" t="s">
        <v>1098</v>
      </c>
      <c r="K43" s="383" t="s">
        <v>987</v>
      </c>
      <c r="L43" s="380" t="s">
        <v>847</v>
      </c>
      <c r="M43" s="383" t="s">
        <v>650</v>
      </c>
      <c r="N43" s="384" t="s">
        <v>1099</v>
      </c>
    </row>
    <row r="45" spans="1:14">
      <c r="A45" s="911" t="s">
        <v>1114</v>
      </c>
      <c r="B45" s="911"/>
      <c r="C45" s="911"/>
      <c r="D45" s="911"/>
      <c r="E45" s="911"/>
      <c r="F45" s="911"/>
      <c r="G45" s="911"/>
      <c r="H45" s="911"/>
      <c r="I45" s="911"/>
      <c r="J45" s="911"/>
      <c r="K45" s="911"/>
      <c r="L45" s="911"/>
      <c r="M45" s="911"/>
      <c r="N45" s="911"/>
    </row>
  </sheetData>
  <sheetProtection password="8026" sheet="1" objects="1" scenarios="1"/>
  <mergeCells count="17">
    <mergeCell ref="F3:F4"/>
    <mergeCell ref="A3:A4"/>
    <mergeCell ref="G3:G4"/>
    <mergeCell ref="H3:H4"/>
    <mergeCell ref="B3:B4"/>
    <mergeCell ref="C3:C4"/>
    <mergeCell ref="D3:D4"/>
    <mergeCell ref="A45:N45"/>
    <mergeCell ref="AO1:BC1"/>
    <mergeCell ref="M3:M4"/>
    <mergeCell ref="N3:N4"/>
    <mergeCell ref="I3:I4"/>
    <mergeCell ref="J3:J4"/>
    <mergeCell ref="K3:K4"/>
    <mergeCell ref="L3:L4"/>
    <mergeCell ref="A1:N1"/>
    <mergeCell ref="E3:E4"/>
  </mergeCells>
  <phoneticPr fontId="0" type="noConversion"/>
  <hyperlinks>
    <hyperlink ref="A45" location="ENTRAINEMENT!A1" display="Retour page ENTRAINEMENT"/>
  </hyperlinks>
  <pageMargins left="0.78740157499999996" right="0.78740157499999996" top="0.984251969" bottom="0.984251969" header="0.4921259845" footer="0.4921259845"/>
  <pageSetup paperSize="9" orientation="portrait" horizontalDpi="4294967294" verticalDpi="0" r:id="rId1"/>
  <headerFooter alignWithMargins="0"/>
</worksheet>
</file>

<file path=xl/worksheets/sheet16.xml><?xml version="1.0" encoding="utf-8"?>
<worksheet xmlns="http://schemas.openxmlformats.org/spreadsheetml/2006/main" xmlns:r="http://schemas.openxmlformats.org/officeDocument/2006/relationships">
  <sheetPr codeName="Feuil11"/>
  <dimension ref="A1:H50"/>
  <sheetViews>
    <sheetView zoomScale="75" workbookViewId="0">
      <selection activeCell="I23" sqref="I23"/>
    </sheetView>
  </sheetViews>
  <sheetFormatPr baseColWidth="10" defaultRowHeight="15.75"/>
  <cols>
    <col min="2" max="2" width="16" customWidth="1"/>
    <col min="3" max="5" width="16.125" customWidth="1"/>
    <col min="7" max="10" width="15.625" customWidth="1"/>
  </cols>
  <sheetData>
    <row r="1" spans="1:8">
      <c r="A1" s="919" t="s">
        <v>501</v>
      </c>
      <c r="B1" s="920"/>
      <c r="C1" s="920"/>
      <c r="D1" s="920"/>
      <c r="E1" s="920"/>
      <c r="F1" s="920"/>
      <c r="G1" s="920"/>
      <c r="H1" s="921"/>
    </row>
    <row r="2" spans="1:8">
      <c r="A2" s="236"/>
      <c r="B2" s="236"/>
      <c r="C2" s="236"/>
      <c r="D2" s="236"/>
      <c r="E2" s="236"/>
    </row>
    <row r="3" spans="1:8" ht="16.5" thickBot="1">
      <c r="A3" s="237"/>
      <c r="B3" s="237"/>
      <c r="C3" s="237"/>
      <c r="D3" s="237"/>
      <c r="E3" s="237"/>
    </row>
    <row r="4" spans="1:8" ht="21" thickBot="1">
      <c r="A4" s="238" t="s">
        <v>502</v>
      </c>
      <c r="B4" s="238"/>
      <c r="C4" s="238"/>
      <c r="D4" s="239">
        <v>5</v>
      </c>
      <c r="E4" t="s">
        <v>503</v>
      </c>
    </row>
    <row r="6" spans="1:8">
      <c r="A6" s="240" t="s">
        <v>504</v>
      </c>
      <c r="B6" s="240"/>
      <c r="C6" s="240"/>
      <c r="D6" s="240"/>
      <c r="E6" s="240"/>
    </row>
    <row r="7" spans="1:8">
      <c r="A7" s="70"/>
      <c r="B7" s="70"/>
      <c r="C7" s="70"/>
      <c r="D7" s="70"/>
      <c r="E7" s="70"/>
    </row>
    <row r="8" spans="1:8">
      <c r="A8" s="70"/>
      <c r="B8" s="241" t="s">
        <v>505</v>
      </c>
      <c r="C8" s="241" t="s">
        <v>506</v>
      </c>
      <c r="D8" s="241" t="s">
        <v>507</v>
      </c>
      <c r="E8" s="241" t="s">
        <v>508</v>
      </c>
    </row>
    <row r="9" spans="1:8">
      <c r="A9" s="241" t="s">
        <v>509</v>
      </c>
      <c r="B9" s="242" t="str">
        <f>IF($D$4=3,"Récupération",IF($D$4=4,"CAT Test",IF($D$4=5,"Cat test",IF($D$4=6,"Cat Test", ""))))</f>
        <v>Cat test</v>
      </c>
      <c r="C9" s="242" t="str">
        <f>IF($D$4=3,"Capacité Aérobie",IF($D$4=4,"PMA",IF($D$4=5,"PMA",IF($D$4=6,"PMA", ""))))</f>
        <v>PMA</v>
      </c>
      <c r="D9" s="242" t="str">
        <f>IF($D$4=3,"Récupération",IF($D$4=4,"Récupération",IF($D$4=5,"Récupération",IF($D$4=6,"Récupération", ""))))</f>
        <v>Récupération</v>
      </c>
      <c r="E9" s="242" t="str">
        <f>IF($D$4=3,"PMA",IF($D$4=4,"Récupération",IF($D$4=5,"Récupération",IF($D$4=6,"Récupération", ""))))</f>
        <v>Récupération</v>
      </c>
    </row>
    <row r="10" spans="1:8">
      <c r="A10" s="70"/>
      <c r="B10" s="242" t="str">
        <f>IF($D$4=3,"PMA",IF($D$4=4,"Récupération",IF($D$4=5,"Récupération",IF($D$4=6,"Récupération", ""))))</f>
        <v>Récupération</v>
      </c>
      <c r="C10" s="242" t="str">
        <f>IF($D$4=3,"Récupération",IF($D$4=4,"Récupération",IF($D$4=5,"Récupération",IF($D$4=6,"Récupération", ""))))</f>
        <v>Récupération</v>
      </c>
      <c r="D10" s="242" t="str">
        <f>IF($D$4=3,"PMA",IF($D$4=4,"PMA",IF($D$4=5,"PMA",IF($D$4=6,"PMA", ""))))</f>
        <v>PMA</v>
      </c>
      <c r="E10" s="242" t="str">
        <f>IF($D$4=3,"Allure Marathon",IF($D$4=4,"PMA",IF($D$4=5,"PMA",IF($D$4=6,"PMA", ""))))</f>
        <v>PMA</v>
      </c>
    </row>
    <row r="11" spans="1:8">
      <c r="A11" s="70"/>
      <c r="B11" s="242" t="str">
        <f>IF($D$4=3,"PMA",IF($D$4=4,"Récupération",IF($D$4=5,"Allure Marathon",IF($D$4=6,"Récupération", ""))))</f>
        <v>Allure Marathon</v>
      </c>
      <c r="C11" s="242" t="str">
        <f>IF($D$4=3,"PMA",IF($D$4=4,"Récupération",IF($D$4=5,"Allure Marathon",IF($D$4=6,"Allure Marathon", ""))))</f>
        <v>Allure Marathon</v>
      </c>
      <c r="D11" s="242" t="str">
        <f>IF($D$4=3,"Récupération",IF($D$4=4,"Récupération",IF($D$4=5,"Récupération",IF($D$4=6,"Récupération", ""))))</f>
        <v>Récupération</v>
      </c>
      <c r="E11" s="242" t="str">
        <f>IF($D$4=3,"Récupération",IF($D$4=4,"Allure Marathon",IF($D$4=5,"Récupération",IF($D$4=6,"Récupération", ""))))</f>
        <v>Récupération</v>
      </c>
    </row>
    <row r="12" spans="1:8">
      <c r="A12" s="70"/>
      <c r="B12" s="242" t="str">
        <f>IF($D$4=3," ",IF($D$4=4,"PMA",IF($D$4=5,"Récupération",IF($D$4=6,"PMA", ""))))</f>
        <v>Récupération</v>
      </c>
      <c r="C12" s="242" t="str">
        <f>IF($D$4=3," ",IF($D$4=4,"PMA",IF($D$4=5,"PMA",IF($D$4=6,"PMA", ""))))</f>
        <v>PMA</v>
      </c>
      <c r="D12" s="242" t="str">
        <f>IF($D$4=3," ",IF($D$4=4,"PMA",IF($D$4=5,"Allure Marathon",IF($D$4=6,"Allure Marathon", ""))))</f>
        <v>Allure Marathon</v>
      </c>
      <c r="E12" s="242" t="str">
        <f>IF($D$4=3," ",IF($D$4=4,"Récupération",IF($D$4=5,"Allure Marathon",IF($D$4=6,"Allure Marathon", ""))))</f>
        <v>Allure Marathon</v>
      </c>
    </row>
    <row r="13" spans="1:8">
      <c r="A13" s="70"/>
      <c r="B13" s="242" t="str">
        <f>IF($D$4=3,"",IF($D$4=4,"",IF($D$4=5,"PMA",IF($D$4=6,"Allure Marathon", ""))))</f>
        <v>PMA</v>
      </c>
      <c r="C13" s="242" t="str">
        <f>IF($D$4=3,"",IF($D$4=4,"",IF($D$4=5,"Récupération",IF($D$4=6,"Récupération", ""))))</f>
        <v>Récupération</v>
      </c>
      <c r="D13" s="242" t="str">
        <f>IF($D$4=3,"",IF($D$4=4,"",IF($D$4=5,"PMA",IF($D$4=6,"PMA", ""))))</f>
        <v>PMA</v>
      </c>
      <c r="E13" s="242" t="str">
        <f>IF($D$4=3,"",IF($D$4=4,"",IF($D$4=5,"PMA",IF($D$4=6,"PMA", ""))))</f>
        <v>PMA</v>
      </c>
    </row>
    <row r="14" spans="1:8">
      <c r="A14" s="70"/>
      <c r="B14" s="242" t="str">
        <f>IF($D$4=3,"",IF($D$4=4,"",IF($D$4=5,"",IF($D$4=6,"Récupération", ""))))</f>
        <v/>
      </c>
      <c r="C14" s="242" t="str">
        <f>IF($D$4=3,"",IF($D$4=4,"",IF($D$4=5,"",IF($D$4=6,"Récupération", ""))))</f>
        <v/>
      </c>
      <c r="D14" s="242" t="str">
        <f>IF($D$4=3,"",IF($D$4=4,"",IF($D$4=5,"",IF($D$4=6,"Récupération", ""))))</f>
        <v/>
      </c>
      <c r="E14" s="242" t="str">
        <f>IF($D$4=3,"",IF($D$4=4,"",IF($D$4=5,"",IF($D$4=6,"Récupération", ""))))</f>
        <v/>
      </c>
    </row>
    <row r="15" spans="1:8">
      <c r="A15" s="148"/>
      <c r="B15" s="243"/>
      <c r="C15" s="243"/>
      <c r="D15" s="243"/>
      <c r="E15" s="243"/>
    </row>
    <row r="16" spans="1:8">
      <c r="A16" s="241" t="s">
        <v>510</v>
      </c>
      <c r="B16" s="242" t="str">
        <f>IF($D$4=3,"PMA",IF($D$4=4,"PMA",IF($D$4=5,"PMA",IF($D$4=6,"Récupération", ""))))</f>
        <v>PMA</v>
      </c>
      <c r="C16" s="242" t="str">
        <f>IF($D$4=3,"Récupération",IF($D$4=4,"Seuil Anaérobie",IF($D$4=5,"Seuil Anaérobie",IF($D$4=6,"Récupération", ""))))</f>
        <v>Seuil Anaérobie</v>
      </c>
      <c r="D16" s="242" t="str">
        <f>IF($D$4=3,"Seuil Anaérobie",IF($D$4=4,"Seuil Anaérobie",IF($D$4=5,"Seuil Anaérobie",IF($D$4=6,"récupération", ""))))</f>
        <v>Seuil Anaérobie</v>
      </c>
      <c r="E16" s="242" t="str">
        <f>IF($D$4=3,"Récupération",IF($D$4=4,"Allure Marathon",IF($D$4=5,"Allure Marathon",IF($D$4=6,"Récupération", ""))))</f>
        <v>Allure Marathon</v>
      </c>
    </row>
    <row r="17" spans="1:8">
      <c r="A17" s="70"/>
      <c r="B17" s="242" t="str">
        <f>IF($D$4=3,"Récupération",IF($D$4=4,"Récupération",IF($D$4=5,"Récupération",IF($D$4=6,"PMA", ""))))</f>
        <v>Récupération</v>
      </c>
      <c r="C17" s="242" t="str">
        <f>IF($D$4=3,"Seuil Anaérobie",IF($D$4=4,"Récupération",IF($D$4=5,"Récupération",IF($D$4=6,"Seuil Anaérobie", ""))))</f>
        <v>Récupération</v>
      </c>
      <c r="D17" s="242" t="str">
        <f>IF($D$4=3,"Allure Marathon",IF($D$4=4,"Récupération",IF($D$4=5,"Récupération",IF($D$4=6,"Seuil anaérobie", ""))))</f>
        <v>Récupération</v>
      </c>
      <c r="E17" s="242" t="str">
        <f>IF($D$4=3,"Allure Marathon",IF($D$4=4,"Récupération",IF($D$4=5,"Récupération",IF($D$4=6,"Seuil Anaérobie", ""))))</f>
        <v>Récupération</v>
      </c>
    </row>
    <row r="18" spans="1:8">
      <c r="A18" s="70"/>
      <c r="B18" s="242" t="str">
        <f>IF($D$4=3,"Seuil Anaérobie",IF($D$4=4,"Récupération",IF($D$4=5,"Allure Marathon",IF($D$4=6,"Récupération", ""))))</f>
        <v>Allure Marathon</v>
      </c>
      <c r="C18" s="242" t="str">
        <f>IF($D$4=3,"Allure Marathon",IF($D$4=4,"Seuil Anaérobie",IF($D$4=5,"Seuil Anaérobie",IF($D$4=6,"Récupération", ""))))</f>
        <v>Seuil Anaérobie</v>
      </c>
      <c r="D18" s="242" t="str">
        <f>IF($D$4=3,"PMA",IF($D$4=4,"Allure Marathon",IF($D$4=5,"PMA",IF($D$4=6,"Récupération", ""))))</f>
        <v>PMA</v>
      </c>
      <c r="E18" s="242" t="str">
        <f>IF($D$4=3,"Seuil Anaérobie",IF($D$4=4,"Allure Marathon",IF($D$4=5,"Allure Marathon",IF($D$4=6,"Récupération", ""))))</f>
        <v>Allure Marathon</v>
      </c>
    </row>
    <row r="19" spans="1:8">
      <c r="A19" s="70"/>
      <c r="B19" s="242" t="str">
        <f>IF($D$4=3," ",IF($D$4=4,"Test 21 km",IF($D$4=5,"Récupération",IF($D$4=6,"Allure Marathon", ""))))</f>
        <v>Récupération</v>
      </c>
      <c r="C19" s="242" t="str">
        <f>IF($D$4=3," ",IF($D$4=4,"Allure Marathon",IF($D$4=5,"Récupération",IF($D$4=6,"Allure Marathon", ""))))</f>
        <v>Récupération</v>
      </c>
      <c r="D19" s="242" t="str">
        <f>IF($D$4=3," ",IF($D$4=4,"PMA",IF($D$4=5,"Récupération",IF($D$4=6,"PMA", ""))))</f>
        <v>Récupération</v>
      </c>
      <c r="E19" s="242" t="str">
        <f>IF($D$4=3," ",IF($D$4=4,"Seuil Anaérobie",IF($D$4=5,"Allure Marathon",IF($D$4=6,"Allure Marathon", ""))))</f>
        <v>Allure Marathon</v>
      </c>
    </row>
    <row r="20" spans="1:8">
      <c r="A20" s="70"/>
      <c r="B20" s="242" t="str">
        <f>IF($D$4=3,"",IF($D$4=4,"",IF($D$4=5,"Test 21 km",IF($D$4=6,"Récupération", ""))))</f>
        <v>Test 21 km</v>
      </c>
      <c r="C20" s="242" t="str">
        <f>IF($D$4=3,"",IF($D$4=4,"",IF($D$4=5,"Allure Marathon",IF($D$4=6,"Récupération", ""))))</f>
        <v>Allure Marathon</v>
      </c>
      <c r="D20" s="242" t="str">
        <f>IF($D$4=3,"",IF($D$4=4,"",IF($D$4=5,"Seuil Anaérobie",IF($D$4=6,"Récupération", ""))))</f>
        <v>Seuil Anaérobie</v>
      </c>
      <c r="E20" s="242" t="str">
        <f>IF($D$4=3,"",IF($D$4=4,"",IF($D$4=5,"Seuil Anaérobie",IF($D$4=6,"Récupération", ""))))</f>
        <v>Seuil Anaérobie</v>
      </c>
    </row>
    <row r="21" spans="1:8">
      <c r="A21" s="70"/>
      <c r="B21" s="242" t="str">
        <f>IF($D$4=3,"",IF($D$4=4,"",IF($D$4=5,"",IF($D$4=6,"Test 21 Km", ""))))</f>
        <v/>
      </c>
      <c r="C21" s="242" t="str">
        <f>IF($D$4=3,"",IF($D$4=4,"",IF($D$4=5,"",IF($D$4=6,"Seuil Anaérobie", ""))))</f>
        <v/>
      </c>
      <c r="D21" s="242" t="str">
        <f>IF($D$4=3,"",IF($D$4=4,"",IF($D$4=5,"",IF($D$4=6,"Seuil Anaérobie", ""))))</f>
        <v/>
      </c>
      <c r="E21" s="242" t="str">
        <f>IF($D$4=3,"",IF($D$4=4,"",IF($D$4=5,"",IF($D$4=6,"Allure Marathon", ""))))</f>
        <v/>
      </c>
    </row>
    <row r="22" spans="1:8">
      <c r="A22" s="148"/>
      <c r="B22" s="243"/>
      <c r="C22" s="243"/>
      <c r="D22" s="243"/>
      <c r="E22" s="243"/>
    </row>
    <row r="23" spans="1:8">
      <c r="A23" s="241" t="s">
        <v>511</v>
      </c>
      <c r="B23" s="242" t="str">
        <f>IF($D$4=3,"PMA",IF($D$4=4,"PMA",IF($D$4=5,"PMA",IF($D$4=6,"PMA", ""))))</f>
        <v>PMA</v>
      </c>
      <c r="C23" s="242" t="str">
        <f>IF($D$4=3,"Allure Marathon",IF($D$4=4,"Allure Marathon",IF($D$4=5,"Seuil Anaérobie",IF($D$4=6,"Seuil Anaérobie", ""))))</f>
        <v>Seuil Anaérobie</v>
      </c>
      <c r="D23" s="242" t="str">
        <f>IF($D$4=3,"Récupération",IF($D$4=4,"Récupération",IF($D$4=5,"Récupération",IF($D$4=6,"Récupération", ""))))</f>
        <v>Récupération</v>
      </c>
      <c r="E23" s="242" t="str">
        <f>IF($D$4=3,"Allure Marathon",IF($D$4=4,"Allure Marathon",IF($D$4=5,"Allure Marathon",IF($D$4=6,"Allure Marathon", ""))))</f>
        <v>Allure Marathon</v>
      </c>
    </row>
    <row r="24" spans="1:8">
      <c r="A24" s="70"/>
      <c r="B24" s="242" t="str">
        <f>IF($D$4=3,"Allure Marathon",IF($D$4=4,"Récupération",IF($D$4=5,"Récupération",IF($D$4=6,"Récupération", ""))))</f>
        <v>Récupération</v>
      </c>
      <c r="C24" s="242" t="str">
        <f>IF($D$4=3,"Récupération",IF($D$4=4,"Récupération",IF($D$4=5,"Allure Marathon",IF($D$4=6,"Récupération", ""))))</f>
        <v>Allure Marathon</v>
      </c>
      <c r="D24" s="242" t="str">
        <f>IF($D$4=3,"Seuil Anaérobie",IF($D$4=4,"Récupération",IF($D$4=5,"Récupération",IF($D$4=6,"Récupération", ""))))</f>
        <v>Récupération</v>
      </c>
      <c r="E24" s="242" t="str">
        <f>IF($D$4=3,"Récupération",IF($D$4=4,"Repos",IF($D$4=5,"Repos",IF($D$4=6,"Récupération", ""))))</f>
        <v>Repos</v>
      </c>
    </row>
    <row r="25" spans="1:8">
      <c r="A25" s="70"/>
      <c r="B25" s="242" t="str">
        <f>IF($D$4=3,"Seuil Anaérobie",IF($D$4=4,"Allure Marathon",IF($D$4=5,"Allure Marathon",IF($D$4=6,"Allure Marathon", ""))))</f>
        <v>Allure Marathon</v>
      </c>
      <c r="C25" s="242" t="str">
        <f>IF($D$4=3,"Test 21 km",IF($D$4=4,"Récupération",IF($D$4=5,"Récupération",IF($D$4=6,"Allure Marathon", ""))))</f>
        <v>Récupération</v>
      </c>
      <c r="D25" s="242" t="str">
        <f>IF($D$4=3,"Allure Marathon",IF($D$4=4,"Seuil Anaérobie",IF($D$4=5,"Seuil Anaérobie",IF($D$4=6,"Seuil Anaérobie", ""))))</f>
        <v>Seuil Anaérobie</v>
      </c>
      <c r="E25" s="242" t="str">
        <f>IF($D$4=3,"Marathon",IF($D$4=4,"Repos",IF($D$4=5,"Repos",IF($D$4=6,"Allure Marathon", ""))))</f>
        <v>Repos</v>
      </c>
    </row>
    <row r="26" spans="1:8">
      <c r="A26" s="70"/>
      <c r="B26" s="242" t="str">
        <f>IF($D$4=3," ",IF($D$4=4,"Seuil Anaérobie",IF($D$4=5,"Récupération",IF($D$4=6,"Récupération", ""))))</f>
        <v>Récupération</v>
      </c>
      <c r="C26" s="242" t="str">
        <f>IF($D$4=3," ",IF($D$4=4,"Test 25 km",IF($D$4=5,"Récupération",IF($D$4=6,"Récupération", ""))))</f>
        <v>Récupération</v>
      </c>
      <c r="D26" s="242" t="str">
        <f>IF($D$4=3," ",IF($D$4=4,"Allure Marathon",IF($D$4=5,"Allure Marathon",IF($D$4=6,"Allure Marathon", ""))))</f>
        <v>Allure Marathon</v>
      </c>
      <c r="E26" s="242" t="str">
        <f>IF($D$4=3," ",IF($D$4=4,"Marathon",IF($D$4=5,"Repos",IF($D$4=6,"Repos", ""))))</f>
        <v>Repos</v>
      </c>
    </row>
    <row r="27" spans="1:8">
      <c r="A27" s="70"/>
      <c r="B27" s="242" t="str">
        <f>IF($D$4=3,"",IF($D$4=4,"",IF($D$4=5,"Allure Marathon",IF($D$4=6,"Allure Marathon", ""))))</f>
        <v>Allure Marathon</v>
      </c>
      <c r="C27" s="242" t="str">
        <f>IF($D$4=3,"",IF($D$4=4,"",IF($D$4=5,"Test 25 km",IF($D$4=6,"Récupération", ""))))</f>
        <v>Test 25 km</v>
      </c>
      <c r="D27" s="242" t="str">
        <f>IF($D$4=3,"",IF($D$4=4,"",IF($D$4=5,"Allure Marathon",IF($D$4=6,"Récupération", ""))))</f>
        <v>Allure Marathon</v>
      </c>
      <c r="E27" s="242" t="str">
        <f>IF($D$4=3,"",IF($D$4=4,"",IF($D$4=5,"Marathon",IF($D$4=6,"Repos", ""))))</f>
        <v>Marathon</v>
      </c>
    </row>
    <row r="28" spans="1:8">
      <c r="A28" s="70"/>
      <c r="B28" s="242" t="str">
        <f>IF($D$4=3,"",IF($D$4=4,"",IF($D$4=5,"",IF($D$4=6,"Récupération", ""))))</f>
        <v/>
      </c>
      <c r="C28" s="242" t="str">
        <f>IF($D$4=3,"",IF($D$4=4,"",IF($D$4=5,"",IF($D$4=6,"Test 25 km", ""))))</f>
        <v/>
      </c>
      <c r="D28" s="242" t="str">
        <f>IF($D$4=3,"",IF($D$4=4,"",IF($D$4=5,"",IF($D$4=6,"Allure Marathon", ""))))</f>
        <v/>
      </c>
      <c r="E28" s="242" t="str">
        <f>IF($D$4=3,"",IF($D$4=4,"",IF($D$4=5,"",IF($D$4=6,"Marathon", ""))))</f>
        <v/>
      </c>
    </row>
    <row r="29" spans="1:8">
      <c r="A29" s="70"/>
      <c r="B29" s="70"/>
      <c r="C29" s="70"/>
      <c r="D29" s="70"/>
      <c r="E29" s="70"/>
    </row>
    <row r="30" spans="1:8">
      <c r="A30" s="70"/>
      <c r="B30" s="566" t="s">
        <v>1112</v>
      </c>
      <c r="C30" s="566"/>
      <c r="D30" s="566"/>
      <c r="E30" s="566"/>
      <c r="F30" s="414" t="s">
        <v>1113</v>
      </c>
    </row>
    <row r="31" spans="1:8">
      <c r="A31" s="70"/>
      <c r="B31" s="70"/>
      <c r="C31" s="70"/>
      <c r="D31" s="70"/>
      <c r="E31" s="70"/>
    </row>
    <row r="32" spans="1:8">
      <c r="A32" s="364" t="s">
        <v>617</v>
      </c>
      <c r="B32" s="365" t="s">
        <v>618</v>
      </c>
      <c r="C32" s="366"/>
      <c r="D32" s="366"/>
      <c r="E32" s="366"/>
      <c r="F32" s="366"/>
      <c r="G32" s="366"/>
      <c r="H32" s="367"/>
    </row>
    <row r="33" spans="1:8">
      <c r="A33" s="368" t="s">
        <v>619</v>
      </c>
      <c r="B33" s="369">
        <v>3.9351851851851857E-3</v>
      </c>
      <c r="C33" s="369">
        <v>3.472222222222222E-3</v>
      </c>
      <c r="D33" s="369">
        <v>3.472222222222222E-3</v>
      </c>
      <c r="E33" s="369">
        <v>3.2407407407407406E-3</v>
      </c>
      <c r="F33" s="369">
        <v>2.7777777777777779E-3</v>
      </c>
      <c r="G33" s="369">
        <v>2.7777777777777779E-3</v>
      </c>
      <c r="H33" s="369">
        <v>2.0833333333333333E-3</v>
      </c>
    </row>
    <row r="34" spans="1:8">
      <c r="A34" s="368" t="s">
        <v>149</v>
      </c>
      <c r="B34" s="369">
        <v>1.9444444444444445E-2</v>
      </c>
      <c r="C34" s="369">
        <v>1.8518518518518521E-2</v>
      </c>
      <c r="D34" s="369">
        <v>1.7361111111111112E-2</v>
      </c>
      <c r="E34" s="369">
        <v>1.6203703703703703E-2</v>
      </c>
      <c r="F34" s="369">
        <v>1.5046296296296295E-2</v>
      </c>
      <c r="G34" s="369">
        <v>1.3657407407407408E-2</v>
      </c>
      <c r="H34" s="369">
        <v>1.2037037037037035E-2</v>
      </c>
    </row>
    <row r="35" spans="1:8">
      <c r="A35" s="368" t="s">
        <v>620</v>
      </c>
      <c r="B35" s="369">
        <v>3.8657407407407404E-2</v>
      </c>
      <c r="C35" s="369">
        <v>3.6805555555555557E-2</v>
      </c>
      <c r="D35" s="369">
        <v>3.4490740740740738E-2</v>
      </c>
      <c r="E35" s="369">
        <v>3.229166666666667E-2</v>
      </c>
      <c r="F35" s="369">
        <v>2.9513888888888892E-2</v>
      </c>
      <c r="G35" s="369">
        <v>2.7083333333333334E-2</v>
      </c>
      <c r="H35" s="369">
        <v>2.3958333333333331E-2</v>
      </c>
    </row>
    <row r="36" spans="1:8">
      <c r="A36" s="368" t="s">
        <v>621</v>
      </c>
      <c r="B36" s="369">
        <v>8.1944444444444445E-2</v>
      </c>
      <c r="C36" s="369">
        <v>7.7777777777777779E-2</v>
      </c>
      <c r="D36" s="369">
        <v>7.2222222222222229E-2</v>
      </c>
      <c r="E36" s="369">
        <v>6.7361111111111108E-2</v>
      </c>
      <c r="F36" s="369">
        <v>6.1805555555555558E-2</v>
      </c>
      <c r="G36" s="369">
        <v>5.6944444444444443E-2</v>
      </c>
      <c r="H36" s="369">
        <v>5.1388888888888894E-2</v>
      </c>
    </row>
    <row r="37" spans="1:8">
      <c r="A37" s="368" t="s">
        <v>153</v>
      </c>
      <c r="B37" s="369">
        <v>0.11805555555555557</v>
      </c>
      <c r="C37" s="369">
        <v>0.11041666666666666</v>
      </c>
      <c r="D37" s="369">
        <v>0.10416666666666667</v>
      </c>
      <c r="E37" s="369">
        <v>9.7222222222222224E-2</v>
      </c>
      <c r="F37" s="369">
        <v>9.0277777777777776E-2</v>
      </c>
      <c r="G37" s="369">
        <v>8.1944444444444445E-2</v>
      </c>
      <c r="H37" s="369">
        <v>7.2916666666666671E-2</v>
      </c>
    </row>
    <row r="38" spans="1:8">
      <c r="A38" s="368" t="s">
        <v>622</v>
      </c>
      <c r="B38" s="369">
        <v>0.13750000000000001</v>
      </c>
      <c r="C38" s="369">
        <v>0.12847222222222224</v>
      </c>
      <c r="D38" s="369">
        <v>0.12083333333333333</v>
      </c>
      <c r="E38" s="369">
        <v>0.11319444444444444</v>
      </c>
      <c r="F38" s="369">
        <v>0.10486111111111111</v>
      </c>
      <c r="G38" s="369">
        <v>9.5138888888888884E-2</v>
      </c>
      <c r="H38" s="369">
        <v>8.5416666666666655E-2</v>
      </c>
    </row>
    <row r="39" spans="1:8">
      <c r="A39" s="368" t="s">
        <v>623</v>
      </c>
      <c r="B39" s="369">
        <v>0.15763888888888888</v>
      </c>
      <c r="C39" s="369">
        <v>0.14722222222222223</v>
      </c>
      <c r="D39" s="369">
        <v>0.13819444444444443</v>
      </c>
      <c r="E39" s="369">
        <v>0.12916666666666668</v>
      </c>
      <c r="F39" s="369">
        <v>0.11944444444444445</v>
      </c>
      <c r="G39" s="369">
        <v>0.10902777777777778</v>
      </c>
      <c r="H39" s="369">
        <v>9.7916666666666666E-2</v>
      </c>
    </row>
    <row r="40" spans="1:8">
      <c r="A40" s="368" t="s">
        <v>154</v>
      </c>
      <c r="B40" s="370">
        <v>0.16666666666666666</v>
      </c>
      <c r="C40" s="370">
        <v>0.15625</v>
      </c>
      <c r="D40" s="370">
        <v>0.14583333333333334</v>
      </c>
      <c r="E40" s="370">
        <v>0.13541666666666666</v>
      </c>
      <c r="F40" s="370">
        <v>0.125</v>
      </c>
      <c r="G40" s="370">
        <v>0.11458333333333333</v>
      </c>
      <c r="H40" s="370">
        <v>0.10416666666666667</v>
      </c>
    </row>
    <row r="41" spans="1:8">
      <c r="B41" s="62"/>
      <c r="C41" s="62"/>
      <c r="D41" s="62"/>
      <c r="E41" s="62"/>
      <c r="F41" s="62"/>
      <c r="G41" s="62"/>
      <c r="H41" s="62"/>
    </row>
    <row r="42" spans="1:8">
      <c r="A42" s="62"/>
      <c r="B42" s="62"/>
      <c r="H42" s="62"/>
    </row>
    <row r="43" spans="1:8">
      <c r="A43" s="62"/>
      <c r="B43" s="371" t="s">
        <v>624</v>
      </c>
      <c r="C43" s="372"/>
      <c r="D43" s="373">
        <v>0.15416666666666667</v>
      </c>
      <c r="E43" s="379" t="s">
        <v>628</v>
      </c>
      <c r="F43" t="s">
        <v>627</v>
      </c>
      <c r="H43" s="62"/>
    </row>
    <row r="44" spans="1:8">
      <c r="A44" s="62"/>
      <c r="B44" s="62"/>
      <c r="H44" s="62"/>
    </row>
    <row r="45" spans="1:8">
      <c r="A45" s="62"/>
      <c r="B45" s="374" t="s">
        <v>625</v>
      </c>
      <c r="C45" s="375"/>
      <c r="D45" s="375"/>
      <c r="E45" s="375"/>
      <c r="F45" s="375"/>
      <c r="G45" s="375"/>
      <c r="H45" s="376"/>
    </row>
    <row r="46" spans="1:8">
      <c r="A46" s="62"/>
      <c r="B46" s="377" t="s">
        <v>619</v>
      </c>
      <c r="C46" s="377" t="s">
        <v>149</v>
      </c>
      <c r="D46" s="377" t="s">
        <v>620</v>
      </c>
      <c r="E46" s="377" t="s">
        <v>621</v>
      </c>
      <c r="F46" s="377" t="s">
        <v>153</v>
      </c>
      <c r="G46" s="377" t="s">
        <v>622</v>
      </c>
      <c r="H46" s="377" t="s">
        <v>623</v>
      </c>
    </row>
    <row r="47" spans="1:8">
      <c r="A47" s="62"/>
      <c r="B47" s="378">
        <f>(D$43 *0.023)</f>
        <v>3.5458333333333336E-3</v>
      </c>
      <c r="C47" s="378">
        <f>(D$43 *0.118)</f>
        <v>1.8191666666666665E-2</v>
      </c>
      <c r="D47" s="378">
        <f>(D$43 *0.23)</f>
        <v>3.5458333333333335E-2</v>
      </c>
      <c r="E47" s="378">
        <f>(D$43 *0.495)</f>
        <v>7.6312500000000005E-2</v>
      </c>
      <c r="F47" s="378">
        <f>(D$43 *0.712)</f>
        <v>0.10976666666666667</v>
      </c>
      <c r="G47" s="378">
        <f>(D$43 *0.828)</f>
        <v>0.12765000000000001</v>
      </c>
      <c r="H47" s="378">
        <f>(D$43 *0.948)</f>
        <v>0.14615</v>
      </c>
    </row>
    <row r="48" spans="1:8">
      <c r="B48" s="62"/>
      <c r="C48" s="62"/>
      <c r="D48" s="62"/>
      <c r="E48" s="62" t="s">
        <v>626</v>
      </c>
      <c r="H48" s="62"/>
    </row>
    <row r="49" spans="1:8">
      <c r="B49" s="62"/>
      <c r="C49" s="62"/>
      <c r="D49" s="62"/>
      <c r="E49" s="62"/>
      <c r="H49" s="62"/>
    </row>
    <row r="50" spans="1:8">
      <c r="A50" s="911" t="s">
        <v>1114</v>
      </c>
      <c r="B50" s="911"/>
      <c r="C50" s="911"/>
      <c r="D50" s="911"/>
      <c r="E50" s="911"/>
      <c r="F50" s="911"/>
      <c r="G50" s="911"/>
      <c r="H50" s="911"/>
    </row>
  </sheetData>
  <sheetProtection password="8026" sheet="1" objects="1" scenarios="1"/>
  <mergeCells count="3">
    <mergeCell ref="A1:H1"/>
    <mergeCell ref="B30:E30"/>
    <mergeCell ref="A50:H50"/>
  </mergeCells>
  <phoneticPr fontId="2" type="noConversion"/>
  <hyperlinks>
    <hyperlink ref="F30" location="Programme!A1" display="Programme"/>
    <hyperlink ref="A50" location="ENTRAINEMENT!A1" display="Retour page ENTRAINEMENT"/>
  </hyperlinks>
  <printOptions horizontalCentered="1" verticalCentered="1"/>
  <pageMargins left="0.78740157480314965" right="0.78740157480314965" top="0.78740157480314965" bottom="0.78740157480314965" header="0.51181102362204722" footer="0.51181102362204722"/>
  <pageSetup paperSize="9" orientation="landscape" horizontalDpi="180" verticalDpi="180" r:id="rId1"/>
  <headerFooter alignWithMargins="0"/>
</worksheet>
</file>

<file path=xl/worksheets/sheet17.xml><?xml version="1.0" encoding="utf-8"?>
<worksheet xmlns="http://schemas.openxmlformats.org/spreadsheetml/2006/main" xmlns:r="http://schemas.openxmlformats.org/officeDocument/2006/relationships">
  <dimension ref="A1:G16"/>
  <sheetViews>
    <sheetView workbookViewId="0">
      <selection sqref="A1:E1"/>
    </sheetView>
  </sheetViews>
  <sheetFormatPr baseColWidth="10" defaultRowHeight="15.75"/>
  <cols>
    <col min="3" max="3" width="4.875" style="62" customWidth="1"/>
    <col min="4" max="4" width="5.625" customWidth="1"/>
    <col min="5" max="5" width="21.375" style="62" customWidth="1"/>
  </cols>
  <sheetData>
    <row r="1" spans="1:7" ht="23.25" thickBot="1">
      <c r="A1" s="924" t="s">
        <v>1116</v>
      </c>
      <c r="B1" s="925"/>
      <c r="C1" s="925"/>
      <c r="D1" s="925"/>
      <c r="E1" s="926"/>
    </row>
    <row r="3" spans="1:7">
      <c r="B3" t="s">
        <v>10</v>
      </c>
      <c r="C3" s="419">
        <f>Programme!C58</f>
        <v>4.8611111111111107</v>
      </c>
      <c r="D3" t="s">
        <v>1115</v>
      </c>
    </row>
    <row r="4" spans="1:7">
      <c r="A4" s="426">
        <f>C3*360</f>
        <v>1749.9999999999998</v>
      </c>
      <c r="B4" s="427">
        <f>ROUNDUP(A4/200,0)*100</f>
        <v>900</v>
      </c>
    </row>
    <row r="5" spans="1:7">
      <c r="C5"/>
    </row>
    <row r="6" spans="1:7">
      <c r="C6"/>
    </row>
    <row r="7" spans="1:7" ht="20.25">
      <c r="A7" s="932" t="s">
        <v>1121</v>
      </c>
      <c r="B7" s="933"/>
      <c r="C7" s="933"/>
      <c r="D7" s="933"/>
      <c r="E7" s="934"/>
      <c r="G7" s="246"/>
    </row>
    <row r="8" spans="1:7">
      <c r="A8" s="415"/>
      <c r="B8" s="183"/>
      <c r="C8" s="420"/>
      <c r="D8" s="183"/>
      <c r="E8" s="423"/>
    </row>
    <row r="9" spans="1:7" ht="18.75">
      <c r="A9" s="927" t="s">
        <v>1117</v>
      </c>
      <c r="B9" s="928"/>
      <c r="C9" s="928"/>
      <c r="D9" s="421">
        <f>ROUNDUP(B4/6,0)</f>
        <v>150</v>
      </c>
      <c r="E9" s="424" t="s">
        <v>1119</v>
      </c>
    </row>
    <row r="10" spans="1:7" ht="21" customHeight="1">
      <c r="A10" s="415"/>
      <c r="B10" s="183"/>
      <c r="C10" s="420"/>
      <c r="D10" s="183"/>
      <c r="E10" s="423"/>
    </row>
    <row r="11" spans="1:7" ht="18.75">
      <c r="A11" s="929" t="s">
        <v>1118</v>
      </c>
      <c r="B11" s="930"/>
      <c r="C11" s="931"/>
      <c r="D11" s="421">
        <f>ROUNDUP(D9/2,0)</f>
        <v>75</v>
      </c>
      <c r="E11" s="424" t="s">
        <v>1120</v>
      </c>
    </row>
    <row r="12" spans="1:7">
      <c r="A12" s="417"/>
      <c r="B12" s="211"/>
      <c r="C12" s="422"/>
      <c r="D12" s="211"/>
      <c r="E12" s="425"/>
    </row>
    <row r="14" spans="1:7">
      <c r="A14" s="923" t="s">
        <v>1122</v>
      </c>
      <c r="B14" s="923"/>
      <c r="C14" s="923"/>
      <c r="D14" s="923"/>
      <c r="E14" s="428" t="s">
        <v>1123</v>
      </c>
    </row>
    <row r="16" spans="1:7">
      <c r="A16" s="922" t="s">
        <v>1150</v>
      </c>
      <c r="B16" s="922"/>
      <c r="C16" s="922"/>
      <c r="D16" s="922"/>
      <c r="E16" s="922"/>
    </row>
  </sheetData>
  <sheetProtection password="8026" sheet="1" objects="1" scenarios="1"/>
  <mergeCells count="6">
    <mergeCell ref="A16:E16"/>
    <mergeCell ref="A14:D14"/>
    <mergeCell ref="A1:E1"/>
    <mergeCell ref="A9:C9"/>
    <mergeCell ref="A11:C11"/>
    <mergeCell ref="A7:E7"/>
  </mergeCells>
  <phoneticPr fontId="0" type="noConversion"/>
  <hyperlinks>
    <hyperlink ref="E14" r:id="rId1" location="7"/>
    <hyperlink ref="A16:E16" location="ENTRAINEMENT!A1" display="Retour Entraînement"/>
  </hyperlinks>
  <printOptions horizontalCentered="1" verticalCentered="1"/>
  <pageMargins left="0.78740157480314965" right="0.78740157480314965" top="0.98425196850393704" bottom="0.98425196850393704" header="0.51181102362204722" footer="0.51181102362204722"/>
  <pageSetup paperSize="9" orientation="portrait" horizontalDpi="4294967294" verticalDpi="0" r:id="rId2"/>
  <headerFooter alignWithMargins="0"/>
  <drawing r:id="rId3"/>
</worksheet>
</file>

<file path=xl/worksheets/sheet18.xml><?xml version="1.0" encoding="utf-8"?>
<worksheet xmlns="http://schemas.openxmlformats.org/spreadsheetml/2006/main" xmlns:r="http://schemas.openxmlformats.org/officeDocument/2006/relationships">
  <dimension ref="A1:E49"/>
  <sheetViews>
    <sheetView topLeftCell="A4" workbookViewId="0">
      <selection activeCell="E14" sqref="E14"/>
    </sheetView>
  </sheetViews>
  <sheetFormatPr baseColWidth="10" defaultRowHeight="15.75"/>
  <cols>
    <col min="1" max="1" width="5.625" customWidth="1"/>
    <col min="2" max="2" width="12.75" style="62" bestFit="1" customWidth="1"/>
    <col min="3" max="3" width="21.75" style="62" bestFit="1" customWidth="1"/>
    <col min="4" max="4" width="21.75" bestFit="1" customWidth="1"/>
    <col min="5" max="5" width="19.875" bestFit="1" customWidth="1"/>
  </cols>
  <sheetData>
    <row r="1" spans="1:5">
      <c r="B1" s="432" t="s">
        <v>1131</v>
      </c>
      <c r="C1" s="935"/>
      <c r="D1" s="936"/>
    </row>
    <row r="2" spans="1:5">
      <c r="B2" s="432" t="s">
        <v>1132</v>
      </c>
      <c r="C2" s="935"/>
      <c r="D2" s="936"/>
    </row>
    <row r="3" spans="1:5">
      <c r="B3" s="937" t="s">
        <v>1109</v>
      </c>
      <c r="C3" s="937"/>
    </row>
    <row r="4" spans="1:5">
      <c r="B4" s="433" t="s">
        <v>354</v>
      </c>
      <c r="C4" s="434" t="s">
        <v>1133</v>
      </c>
      <c r="D4" s="435" t="s">
        <v>1134</v>
      </c>
    </row>
    <row r="5" spans="1:5">
      <c r="A5" s="352">
        <v>1</v>
      </c>
      <c r="B5" s="436">
        <v>2.9050925925925928E-3</v>
      </c>
      <c r="C5" s="162">
        <f t="shared" ref="C5:C14" si="0">((0.0416666667*E5/1000)/B5)</f>
        <v>14.342629493545816</v>
      </c>
      <c r="D5" s="437">
        <f>C18</f>
        <v>2.9050925925925928E-3</v>
      </c>
      <c r="E5" s="438">
        <v>1000</v>
      </c>
    </row>
    <row r="6" spans="1:5">
      <c r="A6" s="352">
        <v>2</v>
      </c>
      <c r="B6" s="436">
        <v>5.9027777777777776E-3</v>
      </c>
      <c r="C6" s="162">
        <f t="shared" si="0"/>
        <v>14.117647070117648</v>
      </c>
      <c r="D6" s="437">
        <f>AVERAGE(C$18:C19)</f>
        <v>2.9513888888888888E-3</v>
      </c>
      <c r="E6" s="438">
        <v>2000</v>
      </c>
    </row>
    <row r="7" spans="1:5">
      <c r="A7" s="352">
        <v>3</v>
      </c>
      <c r="B7" s="436">
        <v>9.1782407407407403E-3</v>
      </c>
      <c r="C7" s="162">
        <f t="shared" si="0"/>
        <v>13.61916772842371</v>
      </c>
      <c r="D7" s="437">
        <f>AVERAGE(C$18:C20)</f>
        <v>3.0594135802469134E-3</v>
      </c>
      <c r="E7" s="438">
        <v>3000</v>
      </c>
    </row>
    <row r="8" spans="1:5">
      <c r="A8" s="352">
        <v>4</v>
      </c>
      <c r="B8" s="436">
        <v>1.2465277777777777E-2</v>
      </c>
      <c r="C8" s="162">
        <f t="shared" si="0"/>
        <v>13.370473548300836</v>
      </c>
      <c r="D8" s="437">
        <f>AVERAGE(C$18:C21)</f>
        <v>3.1163194444444441E-3</v>
      </c>
      <c r="E8" s="438">
        <v>4000</v>
      </c>
    </row>
    <row r="9" spans="1:5">
      <c r="A9" s="352">
        <v>5</v>
      </c>
      <c r="B9" s="436">
        <v>1.5717592592592592E-2</v>
      </c>
      <c r="C9" s="162">
        <f t="shared" si="0"/>
        <v>13.254786461266569</v>
      </c>
      <c r="D9" s="437">
        <f>AVERAGE(C$18:C22)</f>
        <v>3.1435185185185186E-3</v>
      </c>
      <c r="E9" s="438">
        <v>5000</v>
      </c>
    </row>
    <row r="10" spans="1:5">
      <c r="A10" s="352">
        <v>6</v>
      </c>
      <c r="B10" s="436">
        <v>1.892361111111111E-2</v>
      </c>
      <c r="C10" s="162">
        <f t="shared" si="0"/>
        <v>13.211009184880735</v>
      </c>
      <c r="D10" s="437">
        <f>AVERAGE(C$18:C23)</f>
        <v>3.153935185185185E-3</v>
      </c>
      <c r="E10" s="438">
        <v>6000</v>
      </c>
    </row>
    <row r="11" spans="1:5">
      <c r="A11" s="352">
        <v>7</v>
      </c>
      <c r="B11" s="436">
        <v>2.2210648148148149E-2</v>
      </c>
      <c r="C11" s="162">
        <f t="shared" si="0"/>
        <v>13.131839510244918</v>
      </c>
      <c r="D11" s="437">
        <f>AVERAGE(C$18:C24)</f>
        <v>3.1729497354497358E-3</v>
      </c>
      <c r="E11" s="438">
        <v>7000</v>
      </c>
    </row>
    <row r="12" spans="1:5">
      <c r="A12" s="352">
        <v>8</v>
      </c>
      <c r="B12" s="436">
        <v>2.5497685185185189E-2</v>
      </c>
      <c r="C12" s="162">
        <f t="shared" si="0"/>
        <v>13.073082171148432</v>
      </c>
      <c r="D12" s="437">
        <f>AVERAGE(C$18:C25)</f>
        <v>3.1872106481481486E-3</v>
      </c>
      <c r="E12" s="438">
        <v>8000</v>
      </c>
    </row>
    <row r="13" spans="1:5">
      <c r="A13" s="352">
        <v>9</v>
      </c>
      <c r="B13" s="436">
        <v>2.8703703703703703E-2</v>
      </c>
      <c r="C13" s="162">
        <f t="shared" si="0"/>
        <v>13.064516139483873</v>
      </c>
      <c r="D13" s="437">
        <f>AVERAGE(C$18:C26)</f>
        <v>3.1893004115226336E-3</v>
      </c>
      <c r="E13" s="438">
        <v>9000</v>
      </c>
    </row>
    <row r="14" spans="1:5">
      <c r="A14" s="352">
        <v>10</v>
      </c>
      <c r="B14" s="436">
        <v>3.2002314814814817E-2</v>
      </c>
      <c r="C14" s="162">
        <f t="shared" si="0"/>
        <v>13.019891511320072</v>
      </c>
      <c r="D14" s="437">
        <f>AVERAGE(C$18:C27)</f>
        <v>3.2002314814814819E-3</v>
      </c>
      <c r="E14" s="438">
        <v>10000</v>
      </c>
    </row>
    <row r="15" spans="1:5">
      <c r="B15" s="439" t="s">
        <v>1135</v>
      </c>
      <c r="E15" s="440"/>
    </row>
    <row r="17" spans="1:5">
      <c r="B17" s="435" t="s">
        <v>1136</v>
      </c>
      <c r="C17" s="435" t="s">
        <v>1137</v>
      </c>
      <c r="D17" s="435" t="s">
        <v>1138</v>
      </c>
      <c r="E17" s="435" t="s">
        <v>1139</v>
      </c>
    </row>
    <row r="18" spans="1:5">
      <c r="A18" t="s">
        <v>1140</v>
      </c>
      <c r="B18" s="441">
        <v>1000</v>
      </c>
      <c r="C18" s="442">
        <f>B5</f>
        <v>2.9050925925925928E-3</v>
      </c>
      <c r="D18" s="162">
        <f>((0.0416666667*B18)/C18)*0.001</f>
        <v>14.342629493545816</v>
      </c>
      <c r="E18" s="162">
        <f>D18/3.6</f>
        <v>3.9840637482071712</v>
      </c>
    </row>
    <row r="19" spans="1:5">
      <c r="A19" t="s">
        <v>1141</v>
      </c>
      <c r="B19" s="441">
        <v>1000</v>
      </c>
      <c r="C19" s="442">
        <f t="shared" ref="C19:C27" si="1">B6-B5</f>
        <v>2.9976851851851848E-3</v>
      </c>
      <c r="D19" s="162">
        <f>((0.0416666667*B19)/C19)*0.001</f>
        <v>13.899613910733594</v>
      </c>
      <c r="E19" s="162">
        <f t="shared" ref="E19:E27" si="2">D19/3.6</f>
        <v>3.8610038640926647</v>
      </c>
    </row>
    <row r="20" spans="1:5">
      <c r="A20" t="s">
        <v>1142</v>
      </c>
      <c r="B20" s="441">
        <v>1000</v>
      </c>
      <c r="C20" s="442">
        <f t="shared" si="1"/>
        <v>3.2754629629629627E-3</v>
      </c>
      <c r="D20" s="162">
        <f t="shared" ref="D20:D27" si="3">((0.0416666667*B20)/C20)*0.001</f>
        <v>12.720848066713783</v>
      </c>
      <c r="E20" s="162">
        <f t="shared" si="2"/>
        <v>3.533568907420495</v>
      </c>
    </row>
    <row r="21" spans="1:5">
      <c r="A21" t="s">
        <v>1143</v>
      </c>
      <c r="B21" s="441">
        <v>1000</v>
      </c>
      <c r="C21" s="442">
        <f t="shared" si="1"/>
        <v>3.2870370370370362E-3</v>
      </c>
      <c r="D21" s="162">
        <f t="shared" si="3"/>
        <v>12.676056348169018</v>
      </c>
      <c r="E21" s="162">
        <f t="shared" si="2"/>
        <v>3.5211267633802827</v>
      </c>
    </row>
    <row r="22" spans="1:5">
      <c r="A22" t="s">
        <v>1144</v>
      </c>
      <c r="B22" s="441">
        <v>1000</v>
      </c>
      <c r="C22" s="442">
        <f t="shared" si="1"/>
        <v>3.2523148148148155E-3</v>
      </c>
      <c r="D22" s="162">
        <f t="shared" si="3"/>
        <v>12.81138791060498</v>
      </c>
      <c r="E22" s="162">
        <f t="shared" si="2"/>
        <v>3.5587188640569387</v>
      </c>
    </row>
    <row r="23" spans="1:5">
      <c r="A23" t="s">
        <v>1145</v>
      </c>
      <c r="B23" s="441">
        <v>1000</v>
      </c>
      <c r="C23" s="442">
        <f t="shared" si="1"/>
        <v>3.2060185185185178E-3</v>
      </c>
      <c r="D23" s="162">
        <f t="shared" si="3"/>
        <v>12.996389902093867</v>
      </c>
      <c r="E23" s="162">
        <f t="shared" si="2"/>
        <v>3.6101083061371853</v>
      </c>
    </row>
    <row r="24" spans="1:5">
      <c r="A24" t="s">
        <v>1146</v>
      </c>
      <c r="B24" s="441">
        <v>1000</v>
      </c>
      <c r="C24" s="442">
        <f t="shared" si="1"/>
        <v>3.2870370370370397E-3</v>
      </c>
      <c r="D24" s="162">
        <f t="shared" si="3"/>
        <v>12.676056348169004</v>
      </c>
      <c r="E24" s="162">
        <f t="shared" si="2"/>
        <v>3.5211267633802787</v>
      </c>
    </row>
    <row r="25" spans="1:5">
      <c r="A25" t="s">
        <v>1147</v>
      </c>
      <c r="B25" s="441">
        <v>1000</v>
      </c>
      <c r="C25" s="442">
        <f t="shared" si="1"/>
        <v>3.2870370370370397E-3</v>
      </c>
      <c r="D25" s="162">
        <f t="shared" si="3"/>
        <v>12.676056348169004</v>
      </c>
      <c r="E25" s="162">
        <f t="shared" si="2"/>
        <v>3.5211267633802787</v>
      </c>
    </row>
    <row r="26" spans="1:5">
      <c r="A26" t="s">
        <v>1148</v>
      </c>
      <c r="B26" s="441">
        <v>1000</v>
      </c>
      <c r="C26" s="442">
        <f t="shared" si="1"/>
        <v>3.2060185185185143E-3</v>
      </c>
      <c r="D26" s="162">
        <f t="shared" si="3"/>
        <v>12.996389902093881</v>
      </c>
      <c r="E26" s="162">
        <f t="shared" si="2"/>
        <v>3.6101083061371892</v>
      </c>
    </row>
    <row r="27" spans="1:5">
      <c r="A27" t="s">
        <v>1149</v>
      </c>
      <c r="B27" s="441">
        <v>1000</v>
      </c>
      <c r="C27" s="442">
        <f t="shared" si="1"/>
        <v>3.2986111111111133E-3</v>
      </c>
      <c r="D27" s="162">
        <f t="shared" si="3"/>
        <v>12.631578957473677</v>
      </c>
      <c r="E27" s="162">
        <f t="shared" si="2"/>
        <v>3.5087719326315767</v>
      </c>
    </row>
    <row r="28" spans="1:5">
      <c r="C28" s="443">
        <f>AVERAGE(C18:C27)</f>
        <v>3.2002314814814819E-3</v>
      </c>
    </row>
    <row r="49" spans="1:5">
      <c r="A49" s="922" t="s">
        <v>1235</v>
      </c>
      <c r="B49" s="922"/>
      <c r="C49" s="922"/>
      <c r="D49" s="922"/>
      <c r="E49" s="922"/>
    </row>
  </sheetData>
  <sheetProtection password="8026" sheet="1" objects="1" scenarios="1"/>
  <mergeCells count="4">
    <mergeCell ref="C1:D1"/>
    <mergeCell ref="C2:D2"/>
    <mergeCell ref="B3:C3"/>
    <mergeCell ref="A49:E49"/>
  </mergeCells>
  <phoneticPr fontId="91" type="noConversion"/>
  <hyperlinks>
    <hyperlink ref="A49:E49" location="sommaire!A1" display="Sommaire"/>
  </hyperlinks>
  <printOptions horizontalCentered="1" verticalCentered="1"/>
  <pageMargins left="0.39370078740157483" right="0.39370078740157483" top="0.78740157480314965" bottom="0.78740157480314965" header="0.51181102362204722" footer="0.51181102362204722"/>
  <pageSetup paperSize="9" orientation="landscape" horizontalDpi="0" verticalDpi="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codeName="Feuil2"/>
  <dimension ref="A1:M81"/>
  <sheetViews>
    <sheetView workbookViewId="0">
      <selection activeCell="D15" sqref="D15"/>
    </sheetView>
  </sheetViews>
  <sheetFormatPr baseColWidth="10" defaultRowHeight="15.75"/>
  <cols>
    <col min="1" max="1" width="7.125" style="93" bestFit="1" customWidth="1"/>
    <col min="2" max="2" width="13.375" style="70" bestFit="1" customWidth="1"/>
    <col min="3" max="3" width="5.375" style="70" bestFit="1" customWidth="1"/>
    <col min="4" max="4" width="4.875" style="77" bestFit="1" customWidth="1"/>
    <col min="5" max="5" width="3.875" style="95" bestFit="1" customWidth="1"/>
    <col min="6" max="6" width="6.875" style="94" bestFit="1" customWidth="1"/>
    <col min="7" max="7" width="6" customWidth="1"/>
    <col min="8" max="8" width="7.125" style="93" customWidth="1"/>
    <col min="9" max="9" width="13.375" style="70" customWidth="1"/>
    <col min="10" max="10" width="5.375" style="70" customWidth="1"/>
    <col min="11" max="11" width="4.875" style="77" customWidth="1"/>
    <col min="12" max="12" width="3.875" style="95" customWidth="1"/>
    <col min="13" max="13" width="6.875" style="94" customWidth="1"/>
  </cols>
  <sheetData>
    <row r="1" spans="1:13" ht="16.5" thickBot="1">
      <c r="A1" s="52" t="s">
        <v>112</v>
      </c>
      <c r="B1" s="60">
        <v>18</v>
      </c>
      <c r="D1" s="570" t="s">
        <v>125</v>
      </c>
      <c r="E1" s="571"/>
      <c r="F1" s="571"/>
      <c r="G1" s="571"/>
      <c r="H1" s="571"/>
      <c r="I1" s="572"/>
      <c r="J1" s="60"/>
      <c r="K1" s="60"/>
      <c r="L1" s="60"/>
      <c r="M1" s="60"/>
    </row>
    <row r="2" spans="1:13" ht="166.5" thickBot="1">
      <c r="A2" s="66" t="s">
        <v>115</v>
      </c>
      <c r="B2" s="67" t="s">
        <v>110</v>
      </c>
      <c r="C2" s="68" t="s">
        <v>114</v>
      </c>
      <c r="D2" s="109" t="s">
        <v>10</v>
      </c>
      <c r="E2" s="97" t="s">
        <v>113</v>
      </c>
      <c r="F2" s="69" t="s">
        <v>1125</v>
      </c>
      <c r="G2" s="70"/>
      <c r="H2" s="71" t="s">
        <v>115</v>
      </c>
      <c r="I2" s="67" t="s">
        <v>110</v>
      </c>
      <c r="J2" s="108" t="s">
        <v>114</v>
      </c>
      <c r="K2" s="109" t="s">
        <v>10</v>
      </c>
      <c r="L2" s="97" t="s">
        <v>113</v>
      </c>
      <c r="M2" s="69" t="s">
        <v>1125</v>
      </c>
    </row>
    <row r="3" spans="1:13" ht="15.75" customHeight="1">
      <c r="A3" s="72">
        <v>0</v>
      </c>
      <c r="B3" s="567" t="s">
        <v>111</v>
      </c>
      <c r="C3" s="103"/>
      <c r="D3" s="112"/>
      <c r="E3" s="412">
        <v>96</v>
      </c>
      <c r="F3" s="105"/>
      <c r="G3" s="70"/>
      <c r="H3" s="74"/>
      <c r="I3" s="567" t="s">
        <v>111</v>
      </c>
      <c r="J3" s="111"/>
      <c r="K3" s="112"/>
      <c r="L3" s="106"/>
      <c r="M3" s="105"/>
    </row>
    <row r="4" spans="1:13" ht="15.75" customHeight="1">
      <c r="A4" s="102">
        <v>1.7361111111111112E-4</v>
      </c>
      <c r="B4" s="568"/>
      <c r="C4" s="114"/>
      <c r="D4" s="75"/>
      <c r="E4" s="96"/>
      <c r="F4" s="75"/>
      <c r="G4" s="70"/>
      <c r="H4" s="76"/>
      <c r="I4" s="568"/>
      <c r="J4" s="73"/>
      <c r="K4" s="75"/>
      <c r="L4" s="96"/>
      <c r="M4" s="75"/>
    </row>
    <row r="5" spans="1:13">
      <c r="A5" s="102">
        <v>3.4722222222222224E-4</v>
      </c>
      <c r="B5" s="568"/>
      <c r="C5" s="114"/>
      <c r="D5" s="75"/>
      <c r="E5" s="96"/>
      <c r="F5" s="75"/>
      <c r="G5" s="70"/>
      <c r="H5" s="76"/>
      <c r="I5" s="568"/>
      <c r="J5" s="73"/>
      <c r="K5" s="75"/>
      <c r="L5" s="96"/>
      <c r="M5" s="75"/>
    </row>
    <row r="6" spans="1:13">
      <c r="A6" s="102">
        <v>5.20833333333333E-4</v>
      </c>
      <c r="B6" s="568"/>
      <c r="C6" s="115">
        <v>8</v>
      </c>
      <c r="D6" s="78"/>
      <c r="E6" s="64"/>
      <c r="F6" s="78"/>
      <c r="G6" s="70"/>
      <c r="H6" s="76"/>
      <c r="I6" s="568"/>
      <c r="J6" s="110" t="s">
        <v>2</v>
      </c>
      <c r="K6" s="107"/>
      <c r="L6" s="64"/>
      <c r="M6" s="107"/>
    </row>
    <row r="7" spans="1:13">
      <c r="A7" s="72">
        <v>6.9444444444444404E-4</v>
      </c>
      <c r="B7" s="568"/>
      <c r="C7" s="116"/>
      <c r="D7" s="80"/>
      <c r="E7" s="412">
        <v>115</v>
      </c>
      <c r="F7" s="80"/>
      <c r="G7" s="70"/>
      <c r="H7" s="76"/>
      <c r="I7" s="568"/>
      <c r="J7" s="79"/>
      <c r="K7" s="80"/>
      <c r="L7" s="64"/>
      <c r="M7" s="80"/>
    </row>
    <row r="8" spans="1:13">
      <c r="A8" s="102">
        <v>8.6805555555555497E-4</v>
      </c>
      <c r="B8" s="568"/>
      <c r="C8" s="116"/>
      <c r="D8" s="80"/>
      <c r="E8" s="64"/>
      <c r="F8" s="80"/>
      <c r="G8" s="70"/>
      <c r="H8" s="76"/>
      <c r="I8" s="568"/>
      <c r="J8" s="79"/>
      <c r="K8" s="80"/>
      <c r="L8" s="64"/>
      <c r="M8" s="80"/>
    </row>
    <row r="9" spans="1:13">
      <c r="A9" s="102">
        <v>1.0416666666666699E-3</v>
      </c>
      <c r="B9" s="568"/>
      <c r="C9" s="116"/>
      <c r="D9" s="80"/>
      <c r="E9" s="64"/>
      <c r="F9" s="80"/>
      <c r="G9" s="70"/>
      <c r="H9" s="76"/>
      <c r="I9" s="568"/>
      <c r="J9" s="79"/>
      <c r="K9" s="80"/>
      <c r="L9" s="64"/>
      <c r="M9" s="80"/>
    </row>
    <row r="10" spans="1:13">
      <c r="A10" s="102">
        <v>1.21527777777778E-3</v>
      </c>
      <c r="B10" s="569"/>
      <c r="C10" s="117"/>
      <c r="D10" s="82"/>
      <c r="E10" s="65"/>
      <c r="F10" s="82"/>
      <c r="G10" s="70"/>
      <c r="H10" s="83"/>
      <c r="I10" s="569"/>
      <c r="J10" s="81"/>
      <c r="K10" s="82"/>
      <c r="L10" s="65"/>
      <c r="M10" s="82"/>
    </row>
    <row r="11" spans="1:13">
      <c r="A11" s="84">
        <v>1.38888888888889E-3</v>
      </c>
      <c r="B11" s="85" t="s">
        <v>454</v>
      </c>
      <c r="C11" s="10">
        <v>8.5</v>
      </c>
      <c r="D11" s="145">
        <v>8</v>
      </c>
      <c r="E11" s="412">
        <v>120</v>
      </c>
      <c r="F11" s="104">
        <f>IF($B$1&lt;18,((3.5*C11)+(((3.5*C11)*2)/100)*(18-$B$1)),(3.5*C11))</f>
        <v>29.75</v>
      </c>
      <c r="G11" s="70"/>
      <c r="H11" s="113">
        <v>1.3194444444444399E-2</v>
      </c>
      <c r="I11" s="85" t="s">
        <v>471</v>
      </c>
      <c r="J11" s="88">
        <v>17</v>
      </c>
      <c r="K11" s="145">
        <v>16.5</v>
      </c>
      <c r="L11" s="412">
        <v>185</v>
      </c>
      <c r="M11" s="104">
        <f t="shared" ref="M11:M42" si="0">IF($B$1&lt;18,((3.5*J11)+(((3.5*J11)*2)/100)*(18-$B$1)),(3.5*J11))</f>
        <v>59.5</v>
      </c>
    </row>
    <row r="12" spans="1:13">
      <c r="A12" s="90">
        <v>1.5625000000000001E-3</v>
      </c>
      <c r="B12" s="85"/>
      <c r="C12" s="91">
        <v>8.6</v>
      </c>
      <c r="E12" s="63"/>
      <c r="F12" s="92">
        <f t="shared" ref="F12:F75" si="1">IF($B$1&lt;18,((3.5*C12)+(((3.5*C12)*2)/100)*(18-$B$1)),(3.5*C12))</f>
        <v>30.099999999999998</v>
      </c>
      <c r="G12" s="70"/>
      <c r="H12" s="90">
        <v>1.3368055555555499E-2</v>
      </c>
      <c r="I12" s="85"/>
      <c r="J12" s="91">
        <v>17.100000000000001</v>
      </c>
      <c r="L12" s="63"/>
      <c r="M12" s="92">
        <f t="shared" si="0"/>
        <v>59.850000000000009</v>
      </c>
    </row>
    <row r="13" spans="1:13">
      <c r="A13" s="90">
        <v>1.7361111111111099E-3</v>
      </c>
      <c r="B13" s="85"/>
      <c r="C13" s="91">
        <v>8.8000000000000007</v>
      </c>
      <c r="E13" s="63"/>
      <c r="F13" s="92">
        <f t="shared" si="1"/>
        <v>30.800000000000004</v>
      </c>
      <c r="G13" s="70"/>
      <c r="H13" s="90">
        <v>1.3541666666666599E-2</v>
      </c>
      <c r="I13" s="85"/>
      <c r="J13" s="91">
        <v>17.3</v>
      </c>
      <c r="L13" s="63"/>
      <c r="M13" s="92">
        <f t="shared" si="0"/>
        <v>60.550000000000004</v>
      </c>
    </row>
    <row r="14" spans="1:13">
      <c r="A14" s="90">
        <v>1.90972222222222E-3</v>
      </c>
      <c r="B14" s="85"/>
      <c r="C14" s="91">
        <v>8.9</v>
      </c>
      <c r="E14" s="63"/>
      <c r="F14" s="92">
        <f t="shared" si="1"/>
        <v>31.150000000000002</v>
      </c>
      <c r="G14" s="70"/>
      <c r="H14" s="90">
        <v>1.37152777777777E-2</v>
      </c>
      <c r="I14" s="85"/>
      <c r="J14" s="91">
        <v>17.399999999999999</v>
      </c>
      <c r="L14" s="63"/>
      <c r="M14" s="92">
        <f t="shared" si="0"/>
        <v>60.899999999999991</v>
      </c>
    </row>
    <row r="15" spans="1:13">
      <c r="A15" s="84">
        <v>2.0833333333333298E-3</v>
      </c>
      <c r="B15" s="85" t="s">
        <v>455</v>
      </c>
      <c r="C15" s="10">
        <v>9</v>
      </c>
      <c r="D15" s="145">
        <v>8.5</v>
      </c>
      <c r="E15" s="412">
        <v>126</v>
      </c>
      <c r="F15" s="87">
        <f t="shared" si="1"/>
        <v>31.5</v>
      </c>
      <c r="G15" s="70"/>
      <c r="H15" s="84">
        <v>1.38888888888888E-2</v>
      </c>
      <c r="I15" s="85" t="s">
        <v>472</v>
      </c>
      <c r="J15" s="10">
        <v>17.5</v>
      </c>
      <c r="K15" s="145">
        <v>17</v>
      </c>
      <c r="L15" s="412">
        <v>187</v>
      </c>
      <c r="M15" s="87">
        <f t="shared" si="0"/>
        <v>61.25</v>
      </c>
    </row>
    <row r="16" spans="1:13">
      <c r="A16" s="90">
        <v>2.2569444444444399E-3</v>
      </c>
      <c r="B16" s="85"/>
      <c r="C16" s="91">
        <v>9.1</v>
      </c>
      <c r="D16" s="86"/>
      <c r="E16" s="63"/>
      <c r="F16" s="92">
        <f t="shared" si="1"/>
        <v>31.849999999999998</v>
      </c>
      <c r="G16" s="70"/>
      <c r="H16" s="90">
        <v>1.40624999999999E-2</v>
      </c>
      <c r="I16" s="85"/>
      <c r="J16" s="91">
        <v>17.600000000000001</v>
      </c>
      <c r="L16" s="63"/>
      <c r="M16" s="92">
        <f t="shared" si="0"/>
        <v>61.600000000000009</v>
      </c>
    </row>
    <row r="17" spans="1:13">
      <c r="A17" s="90">
        <v>2.43055555555555E-3</v>
      </c>
      <c r="B17" s="85"/>
      <c r="C17" s="91">
        <v>9.3000000000000007</v>
      </c>
      <c r="D17" s="86"/>
      <c r="E17" s="63"/>
      <c r="F17" s="92">
        <f t="shared" si="1"/>
        <v>32.550000000000004</v>
      </c>
      <c r="G17" s="70"/>
      <c r="H17" s="90">
        <v>1.4236111111111E-2</v>
      </c>
      <c r="I17" s="85"/>
      <c r="J17" s="91">
        <v>17.8</v>
      </c>
      <c r="L17" s="63"/>
      <c r="M17" s="92">
        <f t="shared" si="0"/>
        <v>62.300000000000004</v>
      </c>
    </row>
    <row r="18" spans="1:13">
      <c r="A18" s="90">
        <v>2.60416666666666E-3</v>
      </c>
      <c r="B18" s="85"/>
      <c r="C18" s="91">
        <v>9.4</v>
      </c>
      <c r="D18" s="86"/>
      <c r="E18" s="63"/>
      <c r="F18" s="92">
        <f t="shared" si="1"/>
        <v>32.9</v>
      </c>
      <c r="G18" s="70"/>
      <c r="H18" s="90">
        <v>1.4409722222222201E-2</v>
      </c>
      <c r="I18" s="85"/>
      <c r="J18" s="91">
        <v>17.899999999999999</v>
      </c>
      <c r="L18" s="63"/>
      <c r="M18" s="92">
        <f t="shared" si="0"/>
        <v>62.649999999999991</v>
      </c>
    </row>
    <row r="19" spans="1:13">
      <c r="A19" s="84">
        <v>2.7777777777777701E-3</v>
      </c>
      <c r="B19" s="85" t="s">
        <v>456</v>
      </c>
      <c r="C19" s="10">
        <v>9.5</v>
      </c>
      <c r="D19" s="145">
        <v>9</v>
      </c>
      <c r="E19" s="412">
        <v>135</v>
      </c>
      <c r="F19" s="87">
        <f t="shared" si="1"/>
        <v>33.25</v>
      </c>
      <c r="G19" s="70"/>
      <c r="H19" s="84">
        <v>1.4583333333333301E-2</v>
      </c>
      <c r="I19" s="85" t="s">
        <v>473</v>
      </c>
      <c r="J19" s="10">
        <v>18</v>
      </c>
      <c r="K19" s="145">
        <v>17.5</v>
      </c>
      <c r="L19" s="412"/>
      <c r="M19" s="87">
        <f t="shared" si="0"/>
        <v>63</v>
      </c>
    </row>
    <row r="20" spans="1:13">
      <c r="A20" s="90">
        <v>2.9513888888888801E-3</v>
      </c>
      <c r="B20" s="85"/>
      <c r="C20" s="91">
        <v>9.6</v>
      </c>
      <c r="D20" s="86"/>
      <c r="E20" s="63"/>
      <c r="F20" s="92">
        <f t="shared" si="1"/>
        <v>33.6</v>
      </c>
      <c r="G20" s="70"/>
      <c r="H20" s="90">
        <v>1.4756944444444401E-2</v>
      </c>
      <c r="I20" s="85"/>
      <c r="J20" s="91">
        <v>18.100000000000001</v>
      </c>
      <c r="L20" s="63"/>
      <c r="M20" s="92">
        <f t="shared" si="0"/>
        <v>63.350000000000009</v>
      </c>
    </row>
    <row r="21" spans="1:13">
      <c r="A21" s="90">
        <v>3.1249999999999902E-3</v>
      </c>
      <c r="B21" s="85"/>
      <c r="C21" s="91">
        <v>9.8000000000000007</v>
      </c>
      <c r="D21" s="86"/>
      <c r="E21" s="63"/>
      <c r="F21" s="92">
        <f t="shared" si="1"/>
        <v>34.300000000000004</v>
      </c>
      <c r="G21" s="70"/>
      <c r="H21" s="90">
        <v>1.4930555555555501E-2</v>
      </c>
      <c r="I21" s="85"/>
      <c r="J21" s="91">
        <v>18.3</v>
      </c>
      <c r="L21" s="63"/>
      <c r="M21" s="92">
        <f t="shared" si="0"/>
        <v>64.05</v>
      </c>
    </row>
    <row r="22" spans="1:13">
      <c r="A22" s="90">
        <v>3.2986111111110998E-3</v>
      </c>
      <c r="B22" s="85"/>
      <c r="C22" s="91">
        <v>9.9</v>
      </c>
      <c r="D22" s="86"/>
      <c r="E22" s="63"/>
      <c r="F22" s="92">
        <f t="shared" si="1"/>
        <v>34.65</v>
      </c>
      <c r="G22" s="70"/>
      <c r="H22" s="90">
        <v>1.5104166666666601E-2</v>
      </c>
      <c r="I22" s="85"/>
      <c r="J22" s="91">
        <v>18.399999999999999</v>
      </c>
      <c r="L22" s="63"/>
      <c r="M22" s="92">
        <f t="shared" si="0"/>
        <v>64.399999999999991</v>
      </c>
    </row>
    <row r="23" spans="1:13">
      <c r="A23" s="84">
        <v>3.4722222222222099E-3</v>
      </c>
      <c r="B23" s="85" t="s">
        <v>457</v>
      </c>
      <c r="C23" s="10">
        <v>10</v>
      </c>
      <c r="D23" s="145">
        <v>9.5</v>
      </c>
      <c r="E23" s="412">
        <v>144</v>
      </c>
      <c r="F23" s="87">
        <f t="shared" si="1"/>
        <v>35</v>
      </c>
      <c r="G23" s="70"/>
      <c r="H23" s="84">
        <v>1.5277777777777699E-2</v>
      </c>
      <c r="I23" s="85" t="s">
        <v>474</v>
      </c>
      <c r="J23" s="10">
        <v>18.5</v>
      </c>
      <c r="K23" s="145">
        <v>18</v>
      </c>
      <c r="L23" s="412"/>
      <c r="M23" s="87">
        <f t="shared" si="0"/>
        <v>64.75</v>
      </c>
    </row>
    <row r="24" spans="1:13">
      <c r="A24" s="90">
        <v>3.6458333333333199E-3</v>
      </c>
      <c r="B24" s="85"/>
      <c r="C24" s="91">
        <v>10.1</v>
      </c>
      <c r="E24" s="63"/>
      <c r="F24" s="92">
        <f t="shared" si="1"/>
        <v>35.35</v>
      </c>
      <c r="G24" s="70"/>
      <c r="H24" s="90">
        <v>1.5451388888888799E-2</v>
      </c>
      <c r="I24" s="85"/>
      <c r="J24" s="91">
        <v>18.600000000000001</v>
      </c>
      <c r="L24" s="63"/>
      <c r="M24" s="92">
        <f t="shared" si="0"/>
        <v>65.100000000000009</v>
      </c>
    </row>
    <row r="25" spans="1:13">
      <c r="A25" s="90">
        <v>3.81944444444443E-3</v>
      </c>
      <c r="B25" s="85"/>
      <c r="C25" s="91">
        <v>10.3</v>
      </c>
      <c r="E25" s="63"/>
      <c r="F25" s="92">
        <f t="shared" si="1"/>
        <v>36.050000000000004</v>
      </c>
      <c r="G25" s="70"/>
      <c r="H25" s="90">
        <v>1.5624999999999899E-2</v>
      </c>
      <c r="I25" s="85"/>
      <c r="J25" s="91">
        <v>18.8</v>
      </c>
      <c r="L25" s="63"/>
      <c r="M25" s="92">
        <f t="shared" si="0"/>
        <v>65.8</v>
      </c>
    </row>
    <row r="26" spans="1:13">
      <c r="A26" s="90">
        <v>3.9930555555555396E-3</v>
      </c>
      <c r="B26" s="85"/>
      <c r="C26" s="91">
        <v>10.4</v>
      </c>
      <c r="E26" s="63"/>
      <c r="F26" s="92">
        <f t="shared" si="1"/>
        <v>36.4</v>
      </c>
      <c r="G26" s="70"/>
      <c r="H26" s="90">
        <v>1.5798611111110999E-2</v>
      </c>
      <c r="I26" s="85"/>
      <c r="J26" s="91">
        <v>18.899999999999999</v>
      </c>
      <c r="L26" s="63"/>
      <c r="M26" s="92">
        <f t="shared" si="0"/>
        <v>66.149999999999991</v>
      </c>
    </row>
    <row r="27" spans="1:13">
      <c r="A27" s="84">
        <v>4.1666666666666501E-3</v>
      </c>
      <c r="B27" s="85" t="s">
        <v>458</v>
      </c>
      <c r="C27" s="10">
        <v>10.5</v>
      </c>
      <c r="D27" s="145">
        <v>10</v>
      </c>
      <c r="E27" s="412">
        <v>148</v>
      </c>
      <c r="F27" s="87">
        <f t="shared" si="1"/>
        <v>36.75</v>
      </c>
      <c r="G27" s="70"/>
      <c r="H27" s="84">
        <v>1.59722222222221E-2</v>
      </c>
      <c r="I27" s="85" t="s">
        <v>475</v>
      </c>
      <c r="J27" s="10">
        <v>19</v>
      </c>
      <c r="K27" s="145">
        <v>18.5</v>
      </c>
      <c r="L27" s="412"/>
      <c r="M27" s="87">
        <f t="shared" si="0"/>
        <v>66.5</v>
      </c>
    </row>
    <row r="28" spans="1:13">
      <c r="A28" s="90">
        <v>4.3402777777777598E-3</v>
      </c>
      <c r="B28" s="85"/>
      <c r="C28" s="91">
        <v>10.6</v>
      </c>
      <c r="E28" s="63"/>
      <c r="F28" s="92">
        <f t="shared" si="1"/>
        <v>37.1</v>
      </c>
      <c r="G28" s="70"/>
      <c r="H28" s="90">
        <v>1.61458333333333E-2</v>
      </c>
      <c r="I28" s="85"/>
      <c r="J28" s="91">
        <v>19.100000000000001</v>
      </c>
      <c r="L28" s="63"/>
      <c r="M28" s="92">
        <f t="shared" si="0"/>
        <v>66.850000000000009</v>
      </c>
    </row>
    <row r="29" spans="1:13">
      <c r="A29" s="90">
        <v>4.5138888888888703E-3</v>
      </c>
      <c r="B29" s="85"/>
      <c r="C29" s="91">
        <v>10.8</v>
      </c>
      <c r="E29" s="63"/>
      <c r="F29" s="92">
        <f t="shared" si="1"/>
        <v>37.800000000000004</v>
      </c>
      <c r="G29" s="70"/>
      <c r="H29" s="90">
        <v>1.63194444444444E-2</v>
      </c>
      <c r="I29" s="85"/>
      <c r="J29" s="91">
        <v>19.3</v>
      </c>
      <c r="L29" s="63"/>
      <c r="M29" s="92">
        <f t="shared" si="0"/>
        <v>67.55</v>
      </c>
    </row>
    <row r="30" spans="1:13">
      <c r="A30" s="90">
        <v>4.6874999999999799E-3</v>
      </c>
      <c r="B30" s="85"/>
      <c r="C30" s="91">
        <v>10.9</v>
      </c>
      <c r="E30" s="63"/>
      <c r="F30" s="92">
        <f t="shared" si="1"/>
        <v>38.15</v>
      </c>
      <c r="G30" s="70"/>
      <c r="H30" s="90">
        <v>1.64930555555555E-2</v>
      </c>
      <c r="I30" s="85"/>
      <c r="J30" s="91">
        <v>19.399999999999999</v>
      </c>
      <c r="L30" s="63"/>
      <c r="M30" s="92">
        <f t="shared" si="0"/>
        <v>67.899999999999991</v>
      </c>
    </row>
    <row r="31" spans="1:13">
      <c r="A31" s="84">
        <v>4.8611111111110904E-3</v>
      </c>
      <c r="B31" s="85" t="s">
        <v>459</v>
      </c>
      <c r="C31" s="10">
        <v>11</v>
      </c>
      <c r="D31" s="145">
        <v>10.5</v>
      </c>
      <c r="E31" s="412">
        <v>150</v>
      </c>
      <c r="F31" s="87">
        <f t="shared" si="1"/>
        <v>38.5</v>
      </c>
      <c r="G31" s="70"/>
      <c r="H31" s="84">
        <v>1.6666666666666601E-2</v>
      </c>
      <c r="I31" s="85" t="s">
        <v>476</v>
      </c>
      <c r="J31" s="10">
        <v>19.5</v>
      </c>
      <c r="K31" s="145">
        <v>19</v>
      </c>
      <c r="L31" s="412" t="s">
        <v>2</v>
      </c>
      <c r="M31" s="87">
        <f t="shared" si="0"/>
        <v>68.25</v>
      </c>
    </row>
    <row r="32" spans="1:13">
      <c r="A32" s="90">
        <v>5.0347222222222E-3</v>
      </c>
      <c r="B32" s="85"/>
      <c r="C32" s="91">
        <v>11.1</v>
      </c>
      <c r="E32" s="63"/>
      <c r="F32" s="92">
        <f t="shared" si="1"/>
        <v>38.85</v>
      </c>
      <c r="G32" s="70"/>
      <c r="H32" s="90">
        <v>1.6840277777777701E-2</v>
      </c>
      <c r="I32" s="85"/>
      <c r="J32" s="91">
        <v>19.600000000000001</v>
      </c>
      <c r="L32" s="63"/>
      <c r="M32" s="92">
        <f t="shared" si="0"/>
        <v>68.600000000000009</v>
      </c>
    </row>
    <row r="33" spans="1:13">
      <c r="A33" s="90">
        <v>5.2083333333333096E-3</v>
      </c>
      <c r="B33" s="85"/>
      <c r="C33" s="91">
        <v>11.3</v>
      </c>
      <c r="E33" s="63"/>
      <c r="F33" s="92">
        <f t="shared" si="1"/>
        <v>39.550000000000004</v>
      </c>
      <c r="G33" s="70"/>
      <c r="H33" s="90">
        <v>1.7013888888888801E-2</v>
      </c>
      <c r="I33" s="85"/>
      <c r="J33" s="91">
        <v>19.8</v>
      </c>
      <c r="L33" s="63"/>
      <c r="M33" s="92">
        <f t="shared" si="0"/>
        <v>69.3</v>
      </c>
    </row>
    <row r="34" spans="1:13">
      <c r="A34" s="90">
        <v>5.3819444444444201E-3</v>
      </c>
      <c r="B34" s="85"/>
      <c r="C34" s="91">
        <v>11.4</v>
      </c>
      <c r="E34" s="63"/>
      <c r="F34" s="92">
        <f t="shared" si="1"/>
        <v>39.9</v>
      </c>
      <c r="G34" s="70"/>
      <c r="H34" s="90">
        <v>1.7187499999999901E-2</v>
      </c>
      <c r="I34" s="85"/>
      <c r="J34" s="91">
        <v>19.899999999999999</v>
      </c>
      <c r="L34" s="63"/>
      <c r="M34" s="92">
        <f t="shared" si="0"/>
        <v>69.649999999999991</v>
      </c>
    </row>
    <row r="35" spans="1:13">
      <c r="A35" s="84">
        <v>5.5555555555555297E-3</v>
      </c>
      <c r="B35" s="85" t="s">
        <v>460</v>
      </c>
      <c r="C35" s="88">
        <v>11.5</v>
      </c>
      <c r="D35" s="145">
        <v>11</v>
      </c>
      <c r="E35" s="412">
        <v>154</v>
      </c>
      <c r="F35" s="87">
        <f t="shared" si="1"/>
        <v>40.25</v>
      </c>
      <c r="G35" s="70"/>
      <c r="H35" s="84">
        <v>1.7361111111111001E-2</v>
      </c>
      <c r="I35" s="85" t="s">
        <v>477</v>
      </c>
      <c r="J35" s="10">
        <v>20</v>
      </c>
      <c r="K35" s="145">
        <v>19.5</v>
      </c>
      <c r="L35" s="412" t="s">
        <v>2</v>
      </c>
      <c r="M35" s="87">
        <f t="shared" si="0"/>
        <v>70</v>
      </c>
    </row>
    <row r="36" spans="1:13">
      <c r="A36" s="90">
        <v>5.7291666666666402E-3</v>
      </c>
      <c r="B36" s="85"/>
      <c r="C36" s="91">
        <v>11.6</v>
      </c>
      <c r="E36" s="63"/>
      <c r="F36" s="92">
        <f t="shared" si="1"/>
        <v>40.6</v>
      </c>
      <c r="G36" s="70"/>
      <c r="H36" s="90">
        <v>1.7534722222222101E-2</v>
      </c>
      <c r="I36" s="85"/>
      <c r="J36" s="91">
        <v>20.100000000000001</v>
      </c>
      <c r="L36" s="63"/>
      <c r="M36" s="92">
        <f t="shared" si="0"/>
        <v>70.350000000000009</v>
      </c>
    </row>
    <row r="37" spans="1:13">
      <c r="A37" s="90">
        <v>5.9027777777777499E-3</v>
      </c>
      <c r="B37" s="85"/>
      <c r="C37" s="91">
        <v>11.8</v>
      </c>
      <c r="E37" s="63"/>
      <c r="F37" s="92">
        <f t="shared" si="1"/>
        <v>41.300000000000004</v>
      </c>
      <c r="G37" s="70"/>
      <c r="H37" s="90">
        <v>1.7708333333333201E-2</v>
      </c>
      <c r="I37" s="85"/>
      <c r="J37" s="91">
        <v>20.3</v>
      </c>
      <c r="L37" s="63"/>
      <c r="M37" s="92">
        <f t="shared" si="0"/>
        <v>71.05</v>
      </c>
    </row>
    <row r="38" spans="1:13">
      <c r="A38" s="90">
        <v>6.0763888888888604E-3</v>
      </c>
      <c r="B38" s="85"/>
      <c r="C38" s="91">
        <v>11.9</v>
      </c>
      <c r="E38" s="63"/>
      <c r="F38" s="92">
        <f t="shared" si="1"/>
        <v>41.65</v>
      </c>
      <c r="G38" s="70"/>
      <c r="H38" s="90">
        <v>1.7881944444444402E-2</v>
      </c>
      <c r="I38" s="85"/>
      <c r="J38" s="91">
        <v>20.399999999999999</v>
      </c>
      <c r="L38" s="63"/>
      <c r="M38" s="92">
        <f t="shared" si="0"/>
        <v>71.399999999999991</v>
      </c>
    </row>
    <row r="39" spans="1:13">
      <c r="A39" s="84">
        <v>6.24999999999997E-3</v>
      </c>
      <c r="B39" s="85" t="s">
        <v>461</v>
      </c>
      <c r="C39" s="88">
        <v>12</v>
      </c>
      <c r="D39" s="145">
        <v>11.5</v>
      </c>
      <c r="E39" s="412">
        <v>158</v>
      </c>
      <c r="F39" s="87">
        <f t="shared" si="1"/>
        <v>42</v>
      </c>
      <c r="G39" s="70"/>
      <c r="H39" s="84">
        <v>1.8055555555555498E-2</v>
      </c>
      <c r="I39" s="85" t="s">
        <v>478</v>
      </c>
      <c r="J39" s="88">
        <v>20.5</v>
      </c>
      <c r="K39" s="145">
        <v>20</v>
      </c>
      <c r="L39" s="412" t="s">
        <v>2</v>
      </c>
      <c r="M39" s="87">
        <f t="shared" si="0"/>
        <v>71.75</v>
      </c>
    </row>
    <row r="40" spans="1:13">
      <c r="A40" s="90">
        <v>6.4236111111110796E-3</v>
      </c>
      <c r="B40" s="85"/>
      <c r="C40" s="91">
        <v>12.1</v>
      </c>
      <c r="E40" s="63"/>
      <c r="F40" s="92">
        <f t="shared" si="1"/>
        <v>42.35</v>
      </c>
      <c r="G40" s="70"/>
      <c r="H40" s="90">
        <v>1.8229166666666598E-2</v>
      </c>
      <c r="I40" s="85"/>
      <c r="J40" s="91">
        <v>20.6</v>
      </c>
      <c r="L40" s="63"/>
      <c r="M40" s="92">
        <f t="shared" si="0"/>
        <v>72.100000000000009</v>
      </c>
    </row>
    <row r="41" spans="1:13">
      <c r="A41" s="90">
        <v>6.5972222222221901E-3</v>
      </c>
      <c r="B41" s="85"/>
      <c r="C41" s="91">
        <v>12.3</v>
      </c>
      <c r="E41" s="63"/>
      <c r="F41" s="92">
        <f t="shared" si="1"/>
        <v>43.050000000000004</v>
      </c>
      <c r="G41" s="70"/>
      <c r="H41" s="90">
        <v>1.8402777777777699E-2</v>
      </c>
      <c r="I41" s="85"/>
      <c r="J41" s="91">
        <v>20.8</v>
      </c>
      <c r="L41" s="63"/>
      <c r="M41" s="92">
        <f t="shared" si="0"/>
        <v>72.8</v>
      </c>
    </row>
    <row r="42" spans="1:13">
      <c r="A42" s="90">
        <v>6.7708333333332997E-3</v>
      </c>
      <c r="B42" s="85"/>
      <c r="C42" s="91">
        <v>12.4</v>
      </c>
      <c r="E42" s="63"/>
      <c r="F42" s="92">
        <f t="shared" si="1"/>
        <v>43.4</v>
      </c>
      <c r="G42" s="70"/>
      <c r="H42" s="90">
        <v>1.8576388888888799E-2</v>
      </c>
      <c r="I42" s="85"/>
      <c r="J42" s="91">
        <v>20.9</v>
      </c>
      <c r="L42" s="63"/>
      <c r="M42" s="92">
        <f t="shared" si="0"/>
        <v>73.149999999999991</v>
      </c>
    </row>
    <row r="43" spans="1:13">
      <c r="A43" s="84">
        <v>6.9444444444444102E-3</v>
      </c>
      <c r="B43" s="85" t="s">
        <v>462</v>
      </c>
      <c r="C43" s="88">
        <v>12.5</v>
      </c>
      <c r="D43" s="145">
        <v>12</v>
      </c>
      <c r="E43" s="412">
        <v>161</v>
      </c>
      <c r="F43" s="87">
        <f t="shared" si="1"/>
        <v>43.75</v>
      </c>
      <c r="G43" s="70"/>
      <c r="H43" s="84">
        <v>1.8749999999999899E-2</v>
      </c>
      <c r="I43" s="85" t="s">
        <v>479</v>
      </c>
      <c r="J43" s="88">
        <v>21</v>
      </c>
      <c r="K43" s="145">
        <v>20.5</v>
      </c>
      <c r="L43" s="412" t="s">
        <v>2</v>
      </c>
      <c r="M43" s="87">
        <f t="shared" ref="M43:M59" si="2">IF($B$1&lt;18,((3.5*J43)+(((3.5*J43)*2)/100)*(18-$B$1)),(3.5*J43))</f>
        <v>73.5</v>
      </c>
    </row>
    <row r="44" spans="1:13">
      <c r="A44" s="90">
        <v>7.1180555555555199E-3</v>
      </c>
      <c r="B44" s="85"/>
      <c r="C44" s="91">
        <v>12.6</v>
      </c>
      <c r="E44" s="63"/>
      <c r="F44" s="92">
        <f t="shared" si="1"/>
        <v>44.1</v>
      </c>
      <c r="G44" s="70"/>
      <c r="H44" s="90">
        <v>1.8923611111110999E-2</v>
      </c>
      <c r="I44" s="85"/>
      <c r="J44" s="91">
        <v>21.1</v>
      </c>
      <c r="L44" s="63"/>
      <c r="M44" s="92">
        <f t="shared" si="2"/>
        <v>73.850000000000009</v>
      </c>
    </row>
    <row r="45" spans="1:13">
      <c r="A45" s="90">
        <v>7.2916666666666304E-3</v>
      </c>
      <c r="B45" s="85"/>
      <c r="C45" s="91">
        <v>12.8</v>
      </c>
      <c r="E45" s="63"/>
      <c r="F45" s="92">
        <f t="shared" si="1"/>
        <v>44.800000000000004</v>
      </c>
      <c r="G45" s="70"/>
      <c r="H45" s="90">
        <v>1.9097222222222099E-2</v>
      </c>
      <c r="I45" s="85"/>
      <c r="J45" s="91">
        <v>21.3</v>
      </c>
      <c r="L45" s="63"/>
      <c r="M45" s="92">
        <f t="shared" si="2"/>
        <v>74.55</v>
      </c>
    </row>
    <row r="46" spans="1:13">
      <c r="A46" s="90">
        <v>7.46527777777774E-3</v>
      </c>
      <c r="B46" s="85"/>
      <c r="C46" s="91">
        <v>12.9</v>
      </c>
      <c r="E46" s="63"/>
      <c r="F46" s="92">
        <f t="shared" si="1"/>
        <v>45.15</v>
      </c>
      <c r="G46" s="70"/>
      <c r="H46" s="90">
        <v>1.9270833333333199E-2</v>
      </c>
      <c r="I46" s="85"/>
      <c r="J46" s="91">
        <v>21.4</v>
      </c>
      <c r="L46" s="63"/>
      <c r="M46" s="92">
        <f t="shared" si="2"/>
        <v>74.899999999999991</v>
      </c>
    </row>
    <row r="47" spans="1:13">
      <c r="A47" s="84">
        <v>7.6388888888888496E-3</v>
      </c>
      <c r="B47" s="85" t="s">
        <v>463</v>
      </c>
      <c r="C47" s="10">
        <v>13</v>
      </c>
      <c r="D47" s="145">
        <v>12.5</v>
      </c>
      <c r="E47" s="412">
        <v>165</v>
      </c>
      <c r="F47" s="87">
        <f t="shared" si="1"/>
        <v>45.5</v>
      </c>
      <c r="G47" s="70"/>
      <c r="H47" s="84">
        <v>1.9444444444444299E-2</v>
      </c>
      <c r="I47" s="85" t="s">
        <v>480</v>
      </c>
      <c r="J47" s="88">
        <v>21.5</v>
      </c>
      <c r="K47" s="145">
        <v>21</v>
      </c>
      <c r="L47" s="412" t="s">
        <v>2</v>
      </c>
      <c r="M47" s="87">
        <f t="shared" si="2"/>
        <v>75.25</v>
      </c>
    </row>
    <row r="48" spans="1:13">
      <c r="A48" s="90">
        <v>7.8124999999999601E-3</v>
      </c>
      <c r="B48" s="85"/>
      <c r="C48" s="91">
        <v>13.1</v>
      </c>
      <c r="E48" s="63"/>
      <c r="F48" s="92">
        <f t="shared" si="1"/>
        <v>45.85</v>
      </c>
      <c r="G48" s="70"/>
      <c r="H48" s="90">
        <v>1.96180555555555E-2</v>
      </c>
      <c r="I48" s="85"/>
      <c r="J48" s="91">
        <v>21.6</v>
      </c>
      <c r="L48" s="63"/>
      <c r="M48" s="92">
        <f t="shared" si="2"/>
        <v>75.600000000000009</v>
      </c>
    </row>
    <row r="49" spans="1:13">
      <c r="A49" s="90">
        <v>7.9861111111110706E-3</v>
      </c>
      <c r="B49" s="85"/>
      <c r="C49" s="91">
        <v>13.3</v>
      </c>
      <c r="E49" s="63"/>
      <c r="F49" s="92">
        <f t="shared" si="1"/>
        <v>46.550000000000004</v>
      </c>
      <c r="G49" s="70"/>
      <c r="H49" s="90">
        <v>1.97916666666666E-2</v>
      </c>
      <c r="I49" s="85"/>
      <c r="J49" s="91">
        <v>21.8</v>
      </c>
      <c r="L49" s="63"/>
      <c r="M49" s="92">
        <f t="shared" si="2"/>
        <v>76.3</v>
      </c>
    </row>
    <row r="50" spans="1:13">
      <c r="A50" s="90">
        <v>8.1597222222221794E-3</v>
      </c>
      <c r="B50" s="85"/>
      <c r="C50" s="91">
        <v>13.4</v>
      </c>
      <c r="E50" s="63"/>
      <c r="F50" s="92">
        <f t="shared" si="1"/>
        <v>46.9</v>
      </c>
      <c r="G50" s="70"/>
      <c r="H50" s="90">
        <v>1.99652777777777E-2</v>
      </c>
      <c r="I50" s="85"/>
      <c r="J50" s="91">
        <v>21.9</v>
      </c>
      <c r="L50" s="63"/>
      <c r="M50" s="92">
        <f t="shared" si="2"/>
        <v>76.649999999999991</v>
      </c>
    </row>
    <row r="51" spans="1:13">
      <c r="A51" s="84">
        <v>8.3333333333332898E-3</v>
      </c>
      <c r="B51" s="85" t="s">
        <v>464</v>
      </c>
      <c r="C51" s="10">
        <v>13.5</v>
      </c>
      <c r="D51" s="145">
        <v>13</v>
      </c>
      <c r="E51" s="412">
        <v>169</v>
      </c>
      <c r="F51" s="87">
        <f t="shared" si="1"/>
        <v>47.25</v>
      </c>
      <c r="G51" s="70"/>
      <c r="H51" s="84">
        <v>2.01388888888888E-2</v>
      </c>
      <c r="I51" s="85" t="s">
        <v>481</v>
      </c>
      <c r="J51" s="10">
        <v>22</v>
      </c>
      <c r="K51" s="145">
        <v>21.5</v>
      </c>
      <c r="L51" s="412" t="s">
        <v>2</v>
      </c>
      <c r="M51" s="87">
        <f t="shared" si="2"/>
        <v>77</v>
      </c>
    </row>
    <row r="52" spans="1:13">
      <c r="A52" s="90">
        <v>8.5069444444444003E-3</v>
      </c>
      <c r="B52" s="85"/>
      <c r="C52" s="91">
        <v>13.6</v>
      </c>
      <c r="E52" s="63"/>
      <c r="F52" s="92">
        <f t="shared" si="1"/>
        <v>47.6</v>
      </c>
      <c r="G52" s="70"/>
      <c r="H52" s="90">
        <v>2.03124999999999E-2</v>
      </c>
      <c r="I52" s="85"/>
      <c r="J52" s="91">
        <v>22.1</v>
      </c>
      <c r="L52" s="63"/>
      <c r="M52" s="92">
        <f t="shared" si="2"/>
        <v>77.350000000000009</v>
      </c>
    </row>
    <row r="53" spans="1:13">
      <c r="A53" s="90">
        <v>8.6805555555555108E-3</v>
      </c>
      <c r="B53" s="85"/>
      <c r="C53" s="91">
        <v>13.8</v>
      </c>
      <c r="E53" s="63"/>
      <c r="F53" s="92">
        <f t="shared" si="1"/>
        <v>48.300000000000004</v>
      </c>
      <c r="G53" s="70"/>
      <c r="H53" s="90">
        <v>2.0486111111111E-2</v>
      </c>
      <c r="I53" s="85"/>
      <c r="J53" s="91">
        <v>22.3</v>
      </c>
      <c r="L53" s="63"/>
      <c r="M53" s="92">
        <f t="shared" si="2"/>
        <v>78.05</v>
      </c>
    </row>
    <row r="54" spans="1:13">
      <c r="A54" s="90">
        <v>8.8541666666666196E-3</v>
      </c>
      <c r="B54" s="85"/>
      <c r="C54" s="91">
        <v>13.9</v>
      </c>
      <c r="E54" s="63"/>
      <c r="F54" s="92">
        <f t="shared" si="1"/>
        <v>48.65</v>
      </c>
      <c r="G54" s="70"/>
      <c r="H54" s="90">
        <v>2.06597222222221E-2</v>
      </c>
      <c r="I54" s="85"/>
      <c r="J54" s="91">
        <v>22.4</v>
      </c>
      <c r="L54" s="63"/>
      <c r="M54" s="92">
        <f t="shared" si="2"/>
        <v>78.399999999999991</v>
      </c>
    </row>
    <row r="55" spans="1:13">
      <c r="A55" s="84">
        <v>9.0277777777777301E-3</v>
      </c>
      <c r="B55" s="85" t="s">
        <v>465</v>
      </c>
      <c r="C55" s="10">
        <v>14</v>
      </c>
      <c r="D55" s="145">
        <v>13.5</v>
      </c>
      <c r="E55" s="412">
        <v>171</v>
      </c>
      <c r="F55" s="87">
        <f t="shared" si="1"/>
        <v>49</v>
      </c>
      <c r="G55" s="70"/>
      <c r="H55" s="84">
        <v>2.08333333333332E-2</v>
      </c>
      <c r="I55" s="85" t="s">
        <v>482</v>
      </c>
      <c r="J55" s="10">
        <v>22.5</v>
      </c>
      <c r="K55" s="145">
        <v>22</v>
      </c>
      <c r="L55" s="412" t="s">
        <v>2</v>
      </c>
      <c r="M55" s="87">
        <f t="shared" si="2"/>
        <v>78.75</v>
      </c>
    </row>
    <row r="56" spans="1:13">
      <c r="A56" s="90">
        <v>9.2013888888888406E-3</v>
      </c>
      <c r="B56" s="85"/>
      <c r="C56" s="91">
        <v>14.1</v>
      </c>
      <c r="E56" s="63"/>
      <c r="F56" s="92">
        <f t="shared" si="1"/>
        <v>49.35</v>
      </c>
      <c r="G56" s="70"/>
      <c r="H56" s="90">
        <v>2.10069444444443E-2</v>
      </c>
      <c r="I56" s="85"/>
      <c r="J56" s="91">
        <v>22.6</v>
      </c>
      <c r="L56" s="63"/>
      <c r="M56" s="92">
        <f t="shared" si="2"/>
        <v>79.100000000000009</v>
      </c>
    </row>
    <row r="57" spans="1:13">
      <c r="A57" s="90">
        <v>9.3749999999999493E-3</v>
      </c>
      <c r="B57" s="85"/>
      <c r="C57" s="91">
        <v>14.3</v>
      </c>
      <c r="E57" s="63"/>
      <c r="F57" s="92">
        <f t="shared" si="1"/>
        <v>50.050000000000004</v>
      </c>
      <c r="G57" s="70"/>
      <c r="H57" s="90">
        <v>2.1180555555555401E-2</v>
      </c>
      <c r="I57" s="85"/>
      <c r="J57" s="91">
        <v>22.8</v>
      </c>
      <c r="L57" s="63"/>
      <c r="M57" s="92">
        <f t="shared" si="2"/>
        <v>79.8</v>
      </c>
    </row>
    <row r="58" spans="1:13">
      <c r="A58" s="90">
        <v>9.5486111111110598E-3</v>
      </c>
      <c r="B58" s="85"/>
      <c r="C58" s="91">
        <v>14.4</v>
      </c>
      <c r="E58" s="63"/>
      <c r="F58" s="92">
        <f t="shared" si="1"/>
        <v>50.4</v>
      </c>
      <c r="G58" s="70"/>
      <c r="H58" s="90">
        <v>2.1354166666666601E-2</v>
      </c>
      <c r="I58" s="85"/>
      <c r="J58" s="91">
        <v>22.9</v>
      </c>
      <c r="L58" s="63"/>
      <c r="M58" s="92">
        <f t="shared" si="2"/>
        <v>80.149999999999991</v>
      </c>
    </row>
    <row r="59" spans="1:13">
      <c r="A59" s="84">
        <v>9.7222222222221703E-3</v>
      </c>
      <c r="B59" s="85" t="s">
        <v>466</v>
      </c>
      <c r="C59" s="10">
        <v>14.5</v>
      </c>
      <c r="D59" s="145">
        <v>14</v>
      </c>
      <c r="E59" s="412">
        <v>175</v>
      </c>
      <c r="F59" s="87">
        <f t="shared" si="1"/>
        <v>50.75</v>
      </c>
      <c r="G59" s="70"/>
      <c r="H59" s="84">
        <v>2.1527777777777701E-2</v>
      </c>
      <c r="I59" s="85" t="s">
        <v>483</v>
      </c>
      <c r="J59" s="10">
        <v>23</v>
      </c>
      <c r="K59" s="145">
        <v>22.5</v>
      </c>
      <c r="L59" s="412" t="s">
        <v>2</v>
      </c>
      <c r="M59" s="87">
        <f t="shared" si="2"/>
        <v>80.5</v>
      </c>
    </row>
    <row r="60" spans="1:13">
      <c r="A60" s="90">
        <v>9.8958333333332808E-3</v>
      </c>
      <c r="B60" s="85"/>
      <c r="C60" s="91">
        <v>14.6</v>
      </c>
      <c r="E60" s="63"/>
      <c r="F60" s="92">
        <f t="shared" si="1"/>
        <v>51.1</v>
      </c>
      <c r="G60" s="70"/>
      <c r="H60" s="90">
        <v>2.1701388888888701E-2</v>
      </c>
      <c r="I60" s="85"/>
      <c r="J60" s="91">
        <v>23.1</v>
      </c>
      <c r="L60" s="63"/>
      <c r="M60" s="92">
        <f t="shared" ref="M60:M67" si="3">IF($B$1&lt;18,((3.5*J60)+(((3.5*J60)*2)/100)*(18-$B$1)),(3.5*J60))</f>
        <v>80.850000000000009</v>
      </c>
    </row>
    <row r="61" spans="1:13">
      <c r="A61" s="90">
        <v>1.00694444444444E-2</v>
      </c>
      <c r="B61" s="85"/>
      <c r="C61" s="91">
        <v>14.8</v>
      </c>
      <c r="E61" s="63"/>
      <c r="F61" s="92">
        <f t="shared" si="1"/>
        <v>51.800000000000004</v>
      </c>
      <c r="G61" s="70"/>
      <c r="H61" s="90">
        <v>2.1874999999999801E-2</v>
      </c>
      <c r="I61" s="85"/>
      <c r="J61" s="91">
        <v>23.28</v>
      </c>
      <c r="L61" s="63"/>
      <c r="M61" s="92">
        <f t="shared" si="3"/>
        <v>81.48</v>
      </c>
    </row>
    <row r="62" spans="1:13">
      <c r="A62" s="90">
        <v>1.02430555555555E-2</v>
      </c>
      <c r="B62" s="85"/>
      <c r="C62" s="91">
        <v>14.9</v>
      </c>
      <c r="E62" s="63"/>
      <c r="F62" s="92">
        <f t="shared" si="1"/>
        <v>52.15</v>
      </c>
      <c r="G62" s="70"/>
      <c r="H62" s="90">
        <v>2.2048611111110901E-2</v>
      </c>
      <c r="I62" s="85"/>
      <c r="J62" s="91">
        <v>23.41</v>
      </c>
      <c r="L62" s="63"/>
      <c r="M62" s="92">
        <f t="shared" si="3"/>
        <v>81.935000000000002</v>
      </c>
    </row>
    <row r="63" spans="1:13">
      <c r="A63" s="84">
        <v>1.04166666666666E-2</v>
      </c>
      <c r="B63" s="85" t="s">
        <v>467</v>
      </c>
      <c r="C63" s="10">
        <v>15</v>
      </c>
      <c r="D63" s="145">
        <v>14.5</v>
      </c>
      <c r="E63" s="412">
        <v>176</v>
      </c>
      <c r="F63" s="87">
        <f t="shared" si="1"/>
        <v>52.5</v>
      </c>
      <c r="G63" s="70"/>
      <c r="H63" s="84">
        <v>2.2222222222222001E-2</v>
      </c>
      <c r="I63" s="85" t="s">
        <v>484</v>
      </c>
      <c r="J63" s="10">
        <v>23.54</v>
      </c>
      <c r="K63" s="145">
        <v>23</v>
      </c>
      <c r="L63" s="412" t="s">
        <v>2</v>
      </c>
      <c r="M63" s="87">
        <f t="shared" si="3"/>
        <v>82.39</v>
      </c>
    </row>
    <row r="64" spans="1:13">
      <c r="A64" s="90">
        <v>1.05902777777777E-2</v>
      </c>
      <c r="B64" s="85"/>
      <c r="C64" s="91">
        <v>15.1</v>
      </c>
      <c r="E64" s="63"/>
      <c r="F64" s="92">
        <f t="shared" si="1"/>
        <v>52.85</v>
      </c>
      <c r="G64" s="70"/>
      <c r="H64" s="90">
        <v>2.2395833333333101E-2</v>
      </c>
      <c r="I64" s="85"/>
      <c r="J64" s="91">
        <v>23.6</v>
      </c>
      <c r="L64" s="63"/>
      <c r="M64" s="92">
        <f t="shared" si="3"/>
        <v>82.600000000000009</v>
      </c>
    </row>
    <row r="65" spans="1:13">
      <c r="A65" s="90">
        <v>1.07638888888888E-2</v>
      </c>
      <c r="B65" s="85"/>
      <c r="C65" s="91">
        <v>15.3</v>
      </c>
      <c r="E65" s="63"/>
      <c r="F65" s="92">
        <f t="shared" si="1"/>
        <v>53.550000000000004</v>
      </c>
      <c r="G65" s="70"/>
      <c r="H65" s="90">
        <v>2.2569444444444201E-2</v>
      </c>
      <c r="I65" s="85"/>
      <c r="J65" s="91">
        <v>23.8</v>
      </c>
      <c r="L65" s="63"/>
      <c r="M65" s="92">
        <f t="shared" si="3"/>
        <v>83.3</v>
      </c>
    </row>
    <row r="66" spans="1:13">
      <c r="A66" s="90">
        <v>1.09374999999999E-2</v>
      </c>
      <c r="B66" s="85"/>
      <c r="C66" s="91">
        <v>15.4</v>
      </c>
      <c r="E66" s="63"/>
      <c r="F66" s="92">
        <f t="shared" si="1"/>
        <v>53.9</v>
      </c>
      <c r="G66" s="70"/>
      <c r="H66" s="90">
        <v>2.2743055555555301E-2</v>
      </c>
      <c r="I66" s="85"/>
      <c r="J66" s="91">
        <v>23.93</v>
      </c>
      <c r="L66" s="63"/>
      <c r="M66" s="92">
        <f t="shared" si="3"/>
        <v>83.754999999999995</v>
      </c>
    </row>
    <row r="67" spans="1:13">
      <c r="A67" s="84">
        <v>1.1111111111111099E-2</v>
      </c>
      <c r="B67" s="85" t="s">
        <v>468</v>
      </c>
      <c r="C67" s="10">
        <v>15.5</v>
      </c>
      <c r="D67" s="145">
        <v>15</v>
      </c>
      <c r="E67" s="412">
        <v>176</v>
      </c>
      <c r="F67" s="87">
        <f t="shared" si="1"/>
        <v>54.25</v>
      </c>
      <c r="G67" s="70"/>
      <c r="H67" s="84">
        <v>2.2916666666666401E-2</v>
      </c>
      <c r="I67" s="85" t="s">
        <v>485</v>
      </c>
      <c r="J67" s="10">
        <v>24</v>
      </c>
      <c r="K67" s="145">
        <v>23.5</v>
      </c>
      <c r="L67" s="412" t="s">
        <v>2</v>
      </c>
      <c r="M67" s="87">
        <f t="shared" si="3"/>
        <v>84</v>
      </c>
    </row>
    <row r="68" spans="1:13">
      <c r="A68" s="90">
        <v>1.1284722222222199E-2</v>
      </c>
      <c r="B68" s="85"/>
      <c r="C68" s="91">
        <v>15.6</v>
      </c>
      <c r="E68" s="63"/>
      <c r="F68" s="92">
        <f t="shared" si="1"/>
        <v>54.6</v>
      </c>
      <c r="G68" s="70"/>
      <c r="H68" s="90">
        <v>2.3090277777777501E-2</v>
      </c>
      <c r="I68" s="85"/>
      <c r="J68" s="91">
        <v>24.1</v>
      </c>
      <c r="L68" s="63"/>
      <c r="M68" s="92">
        <f t="shared" ref="M68:M79" si="4">IF($B$1&lt;18,((3.5*J68)+(((3.5*J68)*2)/100)*(18-$B$1)),(3.5*J68))</f>
        <v>84.350000000000009</v>
      </c>
    </row>
    <row r="69" spans="1:13">
      <c r="A69" s="90">
        <v>1.14583333333333E-2</v>
      </c>
      <c r="B69" s="85"/>
      <c r="C69" s="91">
        <v>15.8</v>
      </c>
      <c r="E69" s="63"/>
      <c r="F69" s="92">
        <f t="shared" si="1"/>
        <v>55.300000000000004</v>
      </c>
      <c r="G69" s="70"/>
      <c r="H69" s="90">
        <v>2.3263888888888602E-2</v>
      </c>
      <c r="I69" s="85"/>
      <c r="J69" s="91">
        <v>24.297999999999998</v>
      </c>
      <c r="L69" s="63"/>
      <c r="M69" s="92">
        <f t="shared" si="4"/>
        <v>85.042999999999992</v>
      </c>
    </row>
    <row r="70" spans="1:13">
      <c r="A70" s="90">
        <v>1.16319444444444E-2</v>
      </c>
      <c r="B70" s="85"/>
      <c r="C70" s="91">
        <v>15.9</v>
      </c>
      <c r="E70" s="63"/>
      <c r="F70" s="92">
        <f t="shared" si="1"/>
        <v>55.65</v>
      </c>
      <c r="G70" s="70"/>
      <c r="H70" s="90">
        <v>2.3437499999999702E-2</v>
      </c>
      <c r="I70" s="85"/>
      <c r="J70" s="91">
        <v>24.431000000000001</v>
      </c>
      <c r="L70" s="63"/>
      <c r="M70" s="92">
        <f t="shared" si="4"/>
        <v>85.508499999999998</v>
      </c>
    </row>
    <row r="71" spans="1:13">
      <c r="A71" s="84">
        <v>1.18055555555555E-2</v>
      </c>
      <c r="B71" s="85" t="s">
        <v>469</v>
      </c>
      <c r="C71" s="88">
        <v>16</v>
      </c>
      <c r="D71" s="145">
        <v>15.5</v>
      </c>
      <c r="E71" s="412">
        <v>180</v>
      </c>
      <c r="F71" s="87">
        <f t="shared" si="1"/>
        <v>56</v>
      </c>
      <c r="G71" s="70"/>
      <c r="H71" s="84">
        <v>2.3611111111110802E-2</v>
      </c>
      <c r="I71" s="85" t="s">
        <v>486</v>
      </c>
      <c r="J71" s="10">
        <v>24.5</v>
      </c>
      <c r="K71" s="145">
        <v>24</v>
      </c>
      <c r="L71" s="412" t="s">
        <v>2</v>
      </c>
      <c r="M71" s="87">
        <f t="shared" si="4"/>
        <v>85.75</v>
      </c>
    </row>
    <row r="72" spans="1:13">
      <c r="A72" s="90">
        <v>1.19791666666666E-2</v>
      </c>
      <c r="B72" s="85"/>
      <c r="C72" s="91">
        <v>16.100000000000001</v>
      </c>
      <c r="E72" s="63"/>
      <c r="F72" s="92">
        <f t="shared" si="1"/>
        <v>56.350000000000009</v>
      </c>
      <c r="G72" s="70"/>
      <c r="H72" s="90">
        <v>2.3784722222221898E-2</v>
      </c>
      <c r="I72" s="85"/>
      <c r="J72" s="91">
        <v>24.6</v>
      </c>
      <c r="L72" s="63"/>
      <c r="M72" s="92">
        <f t="shared" si="4"/>
        <v>86.100000000000009</v>
      </c>
    </row>
    <row r="73" spans="1:13">
      <c r="A73" s="90">
        <v>1.21527777777777E-2</v>
      </c>
      <c r="B73" s="85"/>
      <c r="C73" s="91">
        <v>16.3</v>
      </c>
      <c r="E73" s="63"/>
      <c r="F73" s="92">
        <f t="shared" si="1"/>
        <v>57.050000000000004</v>
      </c>
      <c r="G73" s="70"/>
      <c r="H73" s="90">
        <v>2.3958333333332998E-2</v>
      </c>
      <c r="I73" s="85"/>
      <c r="J73" s="91">
        <v>24.8</v>
      </c>
      <c r="L73" s="63"/>
      <c r="M73" s="92">
        <f t="shared" si="4"/>
        <v>86.8</v>
      </c>
    </row>
    <row r="74" spans="1:13">
      <c r="A74" s="90">
        <v>1.23263888888888E-2</v>
      </c>
      <c r="B74" s="85"/>
      <c r="C74" s="91">
        <v>16.399999999999999</v>
      </c>
      <c r="E74" s="63"/>
      <c r="F74" s="92">
        <f t="shared" si="1"/>
        <v>57.399999999999991</v>
      </c>
      <c r="G74" s="70"/>
      <c r="H74" s="90">
        <v>2.4131944444444099E-2</v>
      </c>
      <c r="I74" s="85"/>
      <c r="J74" s="91">
        <v>24.932099999999998</v>
      </c>
      <c r="L74" s="63"/>
      <c r="M74" s="92">
        <f t="shared" si="4"/>
        <v>87.262349999999998</v>
      </c>
    </row>
    <row r="75" spans="1:13">
      <c r="A75" s="84">
        <v>1.24999999999999E-2</v>
      </c>
      <c r="B75" s="85" t="s">
        <v>470</v>
      </c>
      <c r="C75" s="88">
        <v>16.5</v>
      </c>
      <c r="D75" s="145">
        <v>16</v>
      </c>
      <c r="E75" s="412">
        <v>183</v>
      </c>
      <c r="F75" s="87">
        <f t="shared" si="1"/>
        <v>57.75</v>
      </c>
      <c r="G75" s="70"/>
      <c r="H75" s="84">
        <v>2.4305555555555199E-2</v>
      </c>
      <c r="I75" s="85" t="s">
        <v>487</v>
      </c>
      <c r="J75" s="88">
        <v>25</v>
      </c>
      <c r="K75" s="145">
        <v>24.5</v>
      </c>
      <c r="L75" s="412" t="s">
        <v>2</v>
      </c>
      <c r="M75" s="87">
        <f t="shared" si="4"/>
        <v>87.5</v>
      </c>
    </row>
    <row r="76" spans="1:13">
      <c r="A76" s="90">
        <v>1.2673611111111101E-2</v>
      </c>
      <c r="B76" s="85"/>
      <c r="C76" s="91">
        <v>16.600000000000001</v>
      </c>
      <c r="E76" s="63"/>
      <c r="F76" s="92">
        <f>IF($B$1&lt;18,((3.5*C76)+(((3.5*C76)*2)/100)*(18-$B$1)),(3.5*C76))</f>
        <v>58.100000000000009</v>
      </c>
      <c r="G76" s="70"/>
      <c r="H76" s="90">
        <v>2.4479166666666299E-2</v>
      </c>
      <c r="I76" s="85"/>
      <c r="J76" s="91">
        <v>25.1</v>
      </c>
      <c r="L76" s="63"/>
      <c r="M76" s="92">
        <f t="shared" si="4"/>
        <v>87.850000000000009</v>
      </c>
    </row>
    <row r="77" spans="1:13">
      <c r="A77" s="90">
        <v>1.2847222222222201E-2</v>
      </c>
      <c r="B77" s="85"/>
      <c r="C77" s="91">
        <v>16.8</v>
      </c>
      <c r="E77" s="63"/>
      <c r="F77" s="92">
        <f>IF($B$1&lt;18,((3.5*C77)+(((3.5*C77)*2)/100)*(18-$B$1)),(3.5*C77))</f>
        <v>58.800000000000004</v>
      </c>
      <c r="G77" s="70"/>
      <c r="H77" s="90">
        <v>2.4652777777777399E-2</v>
      </c>
      <c r="I77" s="85"/>
      <c r="J77" s="91">
        <v>25.3</v>
      </c>
      <c r="L77" s="63"/>
      <c r="M77" s="92">
        <f t="shared" si="4"/>
        <v>88.55</v>
      </c>
    </row>
    <row r="78" spans="1:13">
      <c r="A78" s="90">
        <v>1.3020833333333299E-2</v>
      </c>
      <c r="B78" s="85"/>
      <c r="C78" s="91">
        <v>16.899999999999999</v>
      </c>
      <c r="E78" s="63"/>
      <c r="F78" s="92">
        <f>IF($B$1&lt;18,((3.5*C78)+(((3.5*C78)*2)/100)*(18-$B$1)),(3.5*C78))</f>
        <v>59.149999999999991</v>
      </c>
      <c r="G78" s="70"/>
      <c r="H78" s="90">
        <v>2.4826388888888499E-2</v>
      </c>
      <c r="I78" s="85"/>
      <c r="J78" s="91">
        <v>25.4</v>
      </c>
      <c r="L78" s="63"/>
      <c r="M78" s="92">
        <f t="shared" si="4"/>
        <v>88.899999999999991</v>
      </c>
    </row>
    <row r="79" spans="1:13">
      <c r="G79" s="70"/>
      <c r="H79" s="84">
        <v>2.4999999999999599E-2</v>
      </c>
      <c r="I79" s="85" t="s">
        <v>452</v>
      </c>
      <c r="J79" s="88">
        <v>25.5</v>
      </c>
      <c r="K79" s="145">
        <v>25</v>
      </c>
      <c r="L79" s="412" t="s">
        <v>2</v>
      </c>
      <c r="M79" s="87">
        <f t="shared" si="4"/>
        <v>89.25</v>
      </c>
    </row>
    <row r="80" spans="1:13">
      <c r="A80" s="573" t="s">
        <v>490</v>
      </c>
      <c r="B80" s="573"/>
      <c r="C80" s="573"/>
      <c r="D80" s="573"/>
      <c r="E80" s="573"/>
      <c r="F80" s="573"/>
      <c r="G80" s="573"/>
      <c r="H80" s="573"/>
      <c r="I80" s="573"/>
      <c r="J80" s="573"/>
      <c r="K80" s="573"/>
      <c r="L80" s="573"/>
      <c r="M80" s="573"/>
    </row>
    <row r="81" spans="1:13">
      <c r="A81" s="566" t="s">
        <v>1106</v>
      </c>
      <c r="B81" s="566"/>
      <c r="C81" s="566"/>
      <c r="D81" s="566"/>
      <c r="E81" s="566"/>
      <c r="F81" s="566"/>
      <c r="G81" s="566"/>
      <c r="H81" s="566"/>
      <c r="I81" s="566"/>
      <c r="J81" s="566"/>
      <c r="K81" s="566"/>
      <c r="L81" s="566"/>
      <c r="M81" s="566"/>
    </row>
  </sheetData>
  <sheetProtection password="8026" sheet="1" objects="1" scenarios="1"/>
  <mergeCells count="5">
    <mergeCell ref="A81:M81"/>
    <mergeCell ref="B3:B10"/>
    <mergeCell ref="I3:I10"/>
    <mergeCell ref="D1:I1"/>
    <mergeCell ref="A80:M80"/>
  </mergeCells>
  <phoneticPr fontId="0" type="noConversion"/>
  <printOptions horizontalCentered="1" verticalCentered="1"/>
  <pageMargins left="0.39370078740157483" right="0.39370078740157483" top="0.78740157480314965" bottom="0.78740157480314965" header="0.51181102362204722" footer="0.51181102362204722"/>
  <pageSetup paperSize="9" orientation="portrait" horizontalDpi="4294967293" verticalDpi="0" r:id="rId1"/>
  <headerFooter alignWithMargins="0"/>
  <drawing r:id="rId2"/>
</worksheet>
</file>

<file path=xl/worksheets/sheet3.xml><?xml version="1.0" encoding="utf-8"?>
<worksheet xmlns="http://schemas.openxmlformats.org/spreadsheetml/2006/main" xmlns:r="http://schemas.openxmlformats.org/officeDocument/2006/relationships">
  <sheetPr codeName="Feuil3"/>
  <dimension ref="A1:H120"/>
  <sheetViews>
    <sheetView topLeftCell="A25" workbookViewId="0">
      <selection activeCell="H27" sqref="H27"/>
    </sheetView>
  </sheetViews>
  <sheetFormatPr baseColWidth="10" defaultRowHeight="15.75"/>
  <cols>
    <col min="1" max="1" width="11.875" customWidth="1"/>
    <col min="2" max="2" width="12" customWidth="1"/>
    <col min="3" max="3" width="13.125" customWidth="1"/>
    <col min="5" max="5" width="17.375" customWidth="1"/>
    <col min="6" max="6" width="13" customWidth="1"/>
    <col min="7" max="7" width="9.75" customWidth="1"/>
    <col min="8" max="8" width="8.125" bestFit="1" customWidth="1"/>
  </cols>
  <sheetData>
    <row r="1" spans="1:8" ht="19.5" thickBot="1">
      <c r="A1" s="1" t="s">
        <v>0</v>
      </c>
      <c r="B1" s="2"/>
      <c r="C1" s="2"/>
      <c r="D1" s="2"/>
      <c r="E1" s="2"/>
      <c r="F1" s="2"/>
      <c r="G1" s="3"/>
      <c r="H1" s="3"/>
    </row>
    <row r="2" spans="1:8" ht="19.5" thickBot="1">
      <c r="A2" s="198" t="s">
        <v>1247</v>
      </c>
      <c r="B2" s="199"/>
      <c r="C2" s="199"/>
      <c r="D2" s="199"/>
      <c r="E2" s="199"/>
      <c r="F2" s="199"/>
      <c r="G2" s="199"/>
      <c r="H2" s="174"/>
    </row>
    <row r="3" spans="1:8" ht="16.5" thickBot="1">
      <c r="A3" s="194" t="s">
        <v>1</v>
      </c>
      <c r="B3" s="200" t="s">
        <v>2</v>
      </c>
      <c r="C3" s="195" t="s">
        <v>106</v>
      </c>
      <c r="D3" s="429">
        <v>30</v>
      </c>
      <c r="E3" s="195" t="s">
        <v>3</v>
      </c>
      <c r="F3" s="577" t="s">
        <v>2</v>
      </c>
      <c r="G3" s="578"/>
      <c r="H3" s="174"/>
    </row>
    <row r="4" spans="1:8">
      <c r="A4" s="194" t="s">
        <v>4</v>
      </c>
      <c r="B4" s="201" t="s">
        <v>2</v>
      </c>
      <c r="C4" s="174"/>
      <c r="D4" s="174"/>
      <c r="E4" s="174"/>
      <c r="F4" s="174"/>
      <c r="G4" s="174"/>
      <c r="H4" s="174"/>
    </row>
    <row r="5" spans="1:8">
      <c r="A5" s="579" t="s">
        <v>107</v>
      </c>
      <c r="B5" s="580"/>
      <c r="C5" s="580"/>
      <c r="D5" s="580"/>
      <c r="E5" s="580"/>
      <c r="F5" s="580"/>
      <c r="G5" s="580"/>
      <c r="H5" s="581"/>
    </row>
    <row r="6" spans="1:8">
      <c r="B6" s="58" t="s">
        <v>22</v>
      </c>
      <c r="C6" s="58" t="s">
        <v>6</v>
      </c>
      <c r="D6" s="174"/>
      <c r="E6" s="174"/>
      <c r="F6" s="174"/>
      <c r="G6" s="174"/>
      <c r="H6" s="174"/>
    </row>
    <row r="7" spans="1:8">
      <c r="A7" s="62" t="s">
        <v>126</v>
      </c>
      <c r="B7" s="118">
        <v>8</v>
      </c>
      <c r="C7" s="89">
        <f>IF(Vam_Eval!E3&gt;0,Vam_Eval!E3,"")</f>
        <v>96</v>
      </c>
      <c r="D7" s="174"/>
      <c r="E7" s="174"/>
      <c r="F7" s="174"/>
      <c r="G7" s="174"/>
      <c r="H7" s="174"/>
    </row>
    <row r="8" spans="1:8">
      <c r="A8" s="62" t="s">
        <v>127</v>
      </c>
      <c r="B8" s="118">
        <v>8</v>
      </c>
      <c r="C8" s="89">
        <f>IF(Vam_Eval!E7&gt;0,Vam_Eval!E7,"")</f>
        <v>115</v>
      </c>
      <c r="E8" s="586" t="s">
        <v>124</v>
      </c>
      <c r="F8" s="586"/>
      <c r="G8" s="586"/>
      <c r="H8" s="431">
        <f>AVERAGE(C9:C44)</f>
        <v>161.21052631578948</v>
      </c>
    </row>
    <row r="9" spans="1:8">
      <c r="A9" s="160" t="s">
        <v>488</v>
      </c>
      <c r="B9" s="10">
        <v>8.5</v>
      </c>
      <c r="C9" s="89">
        <f>IF(Vam_Eval!E11&gt;0,Vam_Eval!E11,"")</f>
        <v>120</v>
      </c>
      <c r="D9" s="174"/>
      <c r="E9" s="586" t="s">
        <v>497</v>
      </c>
      <c r="F9" s="586"/>
      <c r="G9" s="586"/>
      <c r="H9" s="171">
        <f>STDEVP(C9:C44)</f>
        <v>19.386861930505034</v>
      </c>
    </row>
    <row r="10" spans="1:8">
      <c r="A10" s="91" t="s">
        <v>7</v>
      </c>
      <c r="B10" s="10">
        <v>9</v>
      </c>
      <c r="C10" s="430">
        <f>IF(Vam_Eval!E15&gt;0,Vam_Eval!E15,"")</f>
        <v>126</v>
      </c>
      <c r="D10" s="174"/>
      <c r="E10" s="584" t="s">
        <v>104</v>
      </c>
      <c r="F10" s="585"/>
      <c r="G10" s="170">
        <v>17.5</v>
      </c>
      <c r="H10" s="30" t="s">
        <v>11</v>
      </c>
    </row>
    <row r="11" spans="1:8">
      <c r="A11" s="91" t="s">
        <v>8</v>
      </c>
      <c r="B11" s="10">
        <v>9.5</v>
      </c>
      <c r="C11" s="430">
        <f>IF(Vam_Eval!E19&gt;0,Vam_Eval!E19,"")</f>
        <v>135</v>
      </c>
      <c r="D11" s="174"/>
      <c r="E11" s="582" t="s">
        <v>105</v>
      </c>
      <c r="F11" s="583"/>
      <c r="G11" s="163">
        <f>MAX(C9:C44)</f>
        <v>187</v>
      </c>
      <c r="H11" t="s">
        <v>20</v>
      </c>
    </row>
    <row r="12" spans="1:8">
      <c r="A12" s="91" t="s">
        <v>9</v>
      </c>
      <c r="B12" s="10">
        <v>10</v>
      </c>
      <c r="C12" s="430">
        <f>IF(Vam_Eval!E23&gt;0,Vam_Eval!E23,"")</f>
        <v>144</v>
      </c>
      <c r="D12" s="174"/>
      <c r="E12" s="175"/>
      <c r="F12" s="174"/>
      <c r="G12" s="174"/>
      <c r="H12" s="174"/>
    </row>
    <row r="13" spans="1:8">
      <c r="A13" s="91" t="s">
        <v>77</v>
      </c>
      <c r="B13" s="10">
        <v>10.5</v>
      </c>
      <c r="C13" s="430">
        <f>IF(Vam_Eval!E27&gt;0,Vam_Eval!E27,"")</f>
        <v>148</v>
      </c>
      <c r="D13" s="174"/>
      <c r="E13" s="175"/>
      <c r="F13" s="174"/>
      <c r="G13" s="174"/>
      <c r="H13" s="174"/>
    </row>
    <row r="14" spans="1:8" ht="16.5" thickBot="1">
      <c r="A14" s="91" t="s">
        <v>78</v>
      </c>
      <c r="B14" s="10">
        <v>11</v>
      </c>
      <c r="C14" s="430">
        <f>IF(Vam_Eval!E31&gt;0,Vam_Eval!E31,"")</f>
        <v>150</v>
      </c>
      <c r="D14" s="174"/>
      <c r="E14" s="598" t="s">
        <v>142</v>
      </c>
      <c r="F14" s="599"/>
      <c r="G14" s="599"/>
      <c r="H14" s="600"/>
    </row>
    <row r="15" spans="1:8">
      <c r="A15" s="91" t="s">
        <v>79</v>
      </c>
      <c r="B15" s="10">
        <v>11.5</v>
      </c>
      <c r="C15" s="430">
        <f>IF(Vam_Eval!E35&gt;0,Vam_Eval!E35,"")</f>
        <v>154</v>
      </c>
      <c r="D15" s="174"/>
      <c r="E15" s="177"/>
      <c r="F15" s="178"/>
      <c r="G15" s="178"/>
      <c r="H15" s="179"/>
    </row>
    <row r="16" spans="1:8">
      <c r="A16" s="91" t="s">
        <v>80</v>
      </c>
      <c r="B16" s="10">
        <v>12</v>
      </c>
      <c r="C16" s="430">
        <f>IF(Vam_Eval!E39&gt;0,Vam_Eval!E39,"")</f>
        <v>158</v>
      </c>
      <c r="D16" s="174"/>
      <c r="E16" s="601" t="s">
        <v>104</v>
      </c>
      <c r="F16" s="602"/>
      <c r="G16" s="602"/>
      <c r="H16" s="180">
        <f>G10</f>
        <v>17.5</v>
      </c>
    </row>
    <row r="17" spans="1:8">
      <c r="A17" s="91" t="s">
        <v>81</v>
      </c>
      <c r="B17" s="10">
        <v>12.5</v>
      </c>
      <c r="C17" s="430">
        <f>IF(Vam_Eval!E43&gt;0,Vam_Eval!E43,"")</f>
        <v>161</v>
      </c>
      <c r="D17" s="174"/>
      <c r="E17" s="601" t="s">
        <v>143</v>
      </c>
      <c r="F17" s="602"/>
      <c r="G17" s="602"/>
      <c r="H17" s="181">
        <v>60</v>
      </c>
    </row>
    <row r="18" spans="1:8">
      <c r="A18" s="91" t="s">
        <v>82</v>
      </c>
      <c r="B18" s="10">
        <v>13</v>
      </c>
      <c r="C18" s="430">
        <f>IF(Vam_Eval!E47&gt;0,Vam_Eval!E47,"")</f>
        <v>165</v>
      </c>
      <c r="D18" s="174"/>
      <c r="E18" s="182"/>
      <c r="F18" s="183"/>
      <c r="G18" s="183"/>
      <c r="H18" s="184"/>
    </row>
    <row r="19" spans="1:8">
      <c r="A19" s="91" t="s">
        <v>83</v>
      </c>
      <c r="B19" s="10">
        <v>13.5</v>
      </c>
      <c r="C19" s="430">
        <f>IF(Vam_Eval!E51&gt;0,Vam_Eval!E51,"")</f>
        <v>169</v>
      </c>
      <c r="D19" s="174"/>
      <c r="E19" s="182"/>
      <c r="F19" s="183"/>
      <c r="G19" s="183"/>
      <c r="H19" s="184"/>
    </row>
    <row r="20" spans="1:8">
      <c r="A20" s="91" t="s">
        <v>84</v>
      </c>
      <c r="B20" s="10">
        <v>14</v>
      </c>
      <c r="C20" s="430">
        <f>IF(Vam_Eval!E55&gt;0,Vam_Eval!E55,"")</f>
        <v>171</v>
      </c>
      <c r="D20" s="174"/>
      <c r="E20" s="592" t="s">
        <v>144</v>
      </c>
      <c r="F20" s="593"/>
      <c r="G20" s="172">
        <f>H16*60/H17</f>
        <v>17.5</v>
      </c>
      <c r="H20" s="137" t="s">
        <v>11</v>
      </c>
    </row>
    <row r="21" spans="1:8" ht="16.5" thickBot="1">
      <c r="A21" s="91" t="s">
        <v>85</v>
      </c>
      <c r="B21" s="10">
        <v>14.5</v>
      </c>
      <c r="C21" s="430">
        <f>IF(Vam_Eval!E59&gt;0,Vam_Eval!E59,"")</f>
        <v>175</v>
      </c>
      <c r="E21" s="185"/>
      <c r="F21" s="186"/>
      <c r="G21" s="186"/>
      <c r="H21" s="187"/>
    </row>
    <row r="22" spans="1:8">
      <c r="A22" s="91" t="s">
        <v>86</v>
      </c>
      <c r="B22" s="10">
        <v>15</v>
      </c>
      <c r="C22" s="430">
        <f>IF(Vam_Eval!E63&gt;0,Vam_Eval!E63,"")</f>
        <v>176</v>
      </c>
      <c r="D22" s="174"/>
      <c r="E22" s="174"/>
      <c r="F22" s="174"/>
      <c r="G22" s="174"/>
      <c r="H22" s="174"/>
    </row>
    <row r="23" spans="1:8">
      <c r="A23" s="91" t="s">
        <v>87</v>
      </c>
      <c r="B23" s="10">
        <v>15.5</v>
      </c>
      <c r="C23" s="430">
        <f>IF(Vam_Eval!E67&gt;0,Vam_Eval!E67,"")</f>
        <v>176</v>
      </c>
      <c r="D23" s="174"/>
      <c r="E23" s="174"/>
      <c r="F23" s="174"/>
      <c r="G23" s="174"/>
      <c r="H23" s="174"/>
    </row>
    <row r="24" spans="1:8">
      <c r="A24" s="91" t="s">
        <v>88</v>
      </c>
      <c r="B24" s="10">
        <v>16</v>
      </c>
      <c r="C24" s="430">
        <f>IF(Vam_Eval!E71&gt;0,Vam_Eval!E71,"")</f>
        <v>180</v>
      </c>
      <c r="D24" s="174"/>
      <c r="E24" s="175"/>
      <c r="F24" s="174"/>
      <c r="G24" s="174"/>
      <c r="H24" s="174"/>
    </row>
    <row r="25" spans="1:8">
      <c r="A25" s="91" t="s">
        <v>89</v>
      </c>
      <c r="B25" s="10">
        <v>16.5</v>
      </c>
      <c r="C25" s="430">
        <f>IF(Vam_Eval!E75&gt;0,Vam_Eval!E75,"")</f>
        <v>183</v>
      </c>
      <c r="D25" s="174"/>
      <c r="E25" s="176" t="s">
        <v>10</v>
      </c>
      <c r="F25" s="411">
        <v>17.5</v>
      </c>
      <c r="G25" s="174" t="s">
        <v>11</v>
      </c>
      <c r="H25" s="174"/>
    </row>
    <row r="26" spans="1:8">
      <c r="A26" s="91" t="s">
        <v>90</v>
      </c>
      <c r="B26" s="10">
        <v>17</v>
      </c>
      <c r="C26" s="430">
        <f>IF(Vam_Eval!L11&gt;0,Vam_Eval!L11,"")</f>
        <v>185</v>
      </c>
      <c r="D26" s="174"/>
      <c r="E26" s="175"/>
      <c r="F26" s="174"/>
      <c r="G26" s="174"/>
      <c r="H26" s="174"/>
    </row>
    <row r="27" spans="1:8">
      <c r="A27" s="91" t="s">
        <v>91</v>
      </c>
      <c r="B27" s="10">
        <v>17.5</v>
      </c>
      <c r="C27" s="430">
        <f>IF(Vam_Eval!L15&gt;0,Vam_Eval!L15,"")</f>
        <v>187</v>
      </c>
      <c r="D27" s="174"/>
      <c r="E27" s="175"/>
      <c r="F27" s="174"/>
      <c r="G27" s="174"/>
      <c r="H27" s="174"/>
    </row>
    <row r="28" spans="1:8">
      <c r="A28" s="91" t="s">
        <v>92</v>
      </c>
      <c r="B28" s="10">
        <v>18</v>
      </c>
      <c r="C28" s="430" t="str">
        <f>IF(Vam_Eval!L19&gt;0,Vam_Eval!L19,"")</f>
        <v/>
      </c>
      <c r="D28" s="174"/>
      <c r="E28" s="174" t="s">
        <v>2</v>
      </c>
      <c r="F28" s="174"/>
      <c r="G28" s="174"/>
      <c r="H28" s="174"/>
    </row>
    <row r="29" spans="1:8">
      <c r="A29" s="91" t="s">
        <v>93</v>
      </c>
      <c r="B29" s="10">
        <v>18.5</v>
      </c>
      <c r="C29" s="430" t="str">
        <f>IF(Vam_Eval!L23&gt;0,Vam_Eval!L23,"")</f>
        <v/>
      </c>
      <c r="D29" s="174"/>
      <c r="E29" s="174"/>
      <c r="F29" s="174"/>
      <c r="G29" s="174"/>
      <c r="H29" s="174"/>
    </row>
    <row r="30" spans="1:8">
      <c r="A30" s="91" t="s">
        <v>94</v>
      </c>
      <c r="B30" s="10">
        <v>19</v>
      </c>
      <c r="C30" s="430" t="str">
        <f>IF(Vam_Eval!L27&gt;0,Vam_Eval!L27,"")</f>
        <v/>
      </c>
      <c r="D30" s="174"/>
      <c r="E30" s="174"/>
      <c r="F30" s="174"/>
      <c r="G30" s="174"/>
      <c r="H30" s="174"/>
    </row>
    <row r="31" spans="1:8">
      <c r="A31" s="91" t="s">
        <v>95</v>
      </c>
      <c r="B31" s="10">
        <v>19.5</v>
      </c>
      <c r="C31" s="430" t="str">
        <f>IF(Vam_Eval!L31&gt;0,Vam_Eval!L31,"")</f>
        <v xml:space="preserve"> </v>
      </c>
      <c r="D31" s="174"/>
      <c r="E31" s="174"/>
      <c r="F31" s="174"/>
      <c r="G31" s="174"/>
      <c r="H31" s="174"/>
    </row>
    <row r="32" spans="1:8">
      <c r="A32" s="91" t="s">
        <v>96</v>
      </c>
      <c r="B32" s="10">
        <v>20</v>
      </c>
      <c r="C32" s="430" t="str">
        <f>IF(Vam_Eval!L35&gt;0,Vam_Eval!L35,"")</f>
        <v xml:space="preserve"> </v>
      </c>
      <c r="D32" s="174"/>
      <c r="E32" s="174"/>
      <c r="F32" s="174"/>
      <c r="G32" s="174"/>
      <c r="H32" s="174"/>
    </row>
    <row r="33" spans="1:8">
      <c r="A33" s="91" t="s">
        <v>97</v>
      </c>
      <c r="B33" s="10">
        <v>20.5</v>
      </c>
      <c r="C33" s="430" t="str">
        <f>IF(Vam_Eval!L39&gt;0,Vam_Eval!L39,"")</f>
        <v xml:space="preserve"> </v>
      </c>
      <c r="D33" s="174"/>
      <c r="E33" s="174"/>
      <c r="F33" s="174"/>
      <c r="G33" s="174"/>
      <c r="H33" s="174"/>
    </row>
    <row r="34" spans="1:8">
      <c r="A34" s="91" t="s">
        <v>98</v>
      </c>
      <c r="B34" s="10">
        <v>21</v>
      </c>
      <c r="C34" s="430" t="str">
        <f>IF(Vam_Eval!L43&gt;0,Vam_Eval!L43,"")</f>
        <v xml:space="preserve"> </v>
      </c>
      <c r="D34" s="174"/>
      <c r="E34" s="174"/>
      <c r="F34" s="174"/>
      <c r="G34" s="174"/>
      <c r="H34" s="174"/>
    </row>
    <row r="35" spans="1:8">
      <c r="A35" s="91" t="s">
        <v>99</v>
      </c>
      <c r="B35" s="10">
        <v>21.5</v>
      </c>
      <c r="C35" s="430" t="str">
        <f>IF(Vam_Eval!L47&gt;0,Vam_Eval!L47,"")</f>
        <v xml:space="preserve"> </v>
      </c>
      <c r="D35" s="174"/>
      <c r="E35" s="174"/>
      <c r="F35" s="174"/>
      <c r="G35" s="174"/>
      <c r="H35" s="174"/>
    </row>
    <row r="36" spans="1:8">
      <c r="A36" s="91" t="s">
        <v>100</v>
      </c>
      <c r="B36" s="10">
        <v>22</v>
      </c>
      <c r="C36" s="430" t="str">
        <f>IF(Vam_Eval!L51&gt;0,Vam_Eval!L51,"")</f>
        <v xml:space="preserve"> </v>
      </c>
      <c r="D36" s="174"/>
      <c r="E36" s="174"/>
      <c r="F36" s="174"/>
      <c r="G36" s="174"/>
      <c r="H36" s="174"/>
    </row>
    <row r="37" spans="1:8">
      <c r="A37" s="91" t="s">
        <v>101</v>
      </c>
      <c r="B37" s="10">
        <v>22.5</v>
      </c>
      <c r="C37" s="430" t="str">
        <f>IF(Vam_Eval!L55&gt;0,Vam_Eval!L55,"")</f>
        <v xml:space="preserve"> </v>
      </c>
      <c r="D37" s="174"/>
      <c r="E37" s="174"/>
      <c r="F37" s="174"/>
      <c r="G37" s="175"/>
      <c r="H37" s="174"/>
    </row>
    <row r="38" spans="1:8">
      <c r="A38" s="91" t="s">
        <v>102</v>
      </c>
      <c r="B38" s="10">
        <v>23</v>
      </c>
      <c r="C38" s="430" t="str">
        <f>IF(Vam_Eval!L59&gt;0,Vam_Eval!L59,"")</f>
        <v xml:space="preserve"> </v>
      </c>
      <c r="D38" s="174"/>
      <c r="E38" s="174"/>
      <c r="F38" s="174"/>
      <c r="G38" s="174"/>
      <c r="H38" s="174"/>
    </row>
    <row r="39" spans="1:8">
      <c r="A39" s="91" t="s">
        <v>103</v>
      </c>
      <c r="B39" s="10">
        <v>23.5</v>
      </c>
      <c r="C39" s="430" t="str">
        <f>IF(Vam_Eval!L63&gt;0,Vam_Eval!L63,"")</f>
        <v xml:space="preserve"> </v>
      </c>
      <c r="D39" s="174"/>
      <c r="E39" s="174"/>
      <c r="F39" s="174"/>
      <c r="G39" s="174"/>
      <c r="H39" s="174"/>
    </row>
    <row r="40" spans="1:8">
      <c r="A40" s="91" t="s">
        <v>116</v>
      </c>
      <c r="B40" s="10">
        <v>24</v>
      </c>
      <c r="C40" s="430" t="str">
        <f>IF(Vam_Eval!L67&gt;0,Vam_Eval!L67,"")</f>
        <v xml:space="preserve"> </v>
      </c>
      <c r="D40" s="174"/>
      <c r="E40" s="174"/>
      <c r="F40" s="174"/>
      <c r="G40" s="174"/>
      <c r="H40" s="174"/>
    </row>
    <row r="41" spans="1:8">
      <c r="A41" s="91" t="s">
        <v>117</v>
      </c>
      <c r="B41" s="10">
        <v>24.5</v>
      </c>
      <c r="C41" s="430" t="str">
        <f>IF(Vam_Eval!L71&gt;0,Vam_Eval!L71,"")</f>
        <v xml:space="preserve"> </v>
      </c>
      <c r="D41" s="174"/>
      <c r="E41" s="174"/>
      <c r="F41" s="174"/>
      <c r="G41" s="174"/>
      <c r="H41" s="174"/>
    </row>
    <row r="42" spans="1:8">
      <c r="A42" s="91" t="s">
        <v>118</v>
      </c>
      <c r="B42" s="10">
        <v>25</v>
      </c>
      <c r="C42" s="430" t="str">
        <f>IF(Vam_Eval!L75&gt;0,Vam_Eval!L75,"")</f>
        <v xml:space="preserve"> </v>
      </c>
      <c r="D42" s="174"/>
      <c r="E42" s="174"/>
      <c r="F42" s="174"/>
      <c r="G42" s="174"/>
      <c r="H42" s="174"/>
    </row>
    <row r="43" spans="1:8">
      <c r="A43" s="91" t="s">
        <v>119</v>
      </c>
      <c r="B43" s="10">
        <v>25.5</v>
      </c>
      <c r="C43" s="430"/>
      <c r="D43" s="174"/>
      <c r="E43" s="174"/>
      <c r="F43" s="174"/>
      <c r="G43" s="174"/>
      <c r="H43" s="174"/>
    </row>
    <row r="44" spans="1:8" ht="16.5" thickBot="1">
      <c r="A44" s="159" t="s">
        <v>2</v>
      </c>
      <c r="B44" s="10" t="s">
        <v>2</v>
      </c>
      <c r="C44" s="465"/>
      <c r="D44" s="174"/>
      <c r="E44" s="174"/>
      <c r="F44" s="174"/>
      <c r="G44" s="174"/>
      <c r="H44" s="174"/>
    </row>
    <row r="45" spans="1:8" ht="16.5" thickBot="1">
      <c r="A45" s="174"/>
      <c r="B45" s="194"/>
      <c r="C45" s="195" t="s">
        <v>12</v>
      </c>
      <c r="D45" s="196">
        <v>95</v>
      </c>
      <c r="E45" s="195" t="s">
        <v>13</v>
      </c>
      <c r="F45" s="145" t="str">
        <f>IF(D45&lt;G11*0.5652,"Excellente",IF(D45&lt;G11*0.5815,"Très bonne",IF(D45&lt;G11*0.6033,"Bonne",IF(D45&lt;G11*0.6304,"Moyenne",IF(D45&lt;G11*0.663,"Médiocre",IF(D45&lt;G11*0.6902,"Mauvaise","Très mauvaise"))))))</f>
        <v>Excellente</v>
      </c>
      <c r="G45" s="174"/>
      <c r="H45" s="174"/>
    </row>
    <row r="46" spans="1:8">
      <c r="A46" s="174"/>
      <c r="B46" s="174"/>
      <c r="C46" s="596" t="s">
        <v>108</v>
      </c>
      <c r="D46" s="597"/>
      <c r="E46" s="597"/>
      <c r="F46" s="59">
        <f>IF(D3&lt;18,((3.5*F25)+(((3.5*F25)*2)/100)*(18-D3)),(3.5*F25))</f>
        <v>61.25</v>
      </c>
      <c r="G46" s="193" t="s">
        <v>14</v>
      </c>
      <c r="H46" s="174"/>
    </row>
    <row r="47" spans="1:8">
      <c r="A47" s="6" t="s">
        <v>15</v>
      </c>
      <c r="B47" s="7"/>
      <c r="C47" s="57">
        <f>G11</f>
        <v>187</v>
      </c>
      <c r="D47" s="174"/>
      <c r="E47" s="174"/>
      <c r="F47" s="174"/>
      <c r="G47" s="174"/>
      <c r="H47" s="174"/>
    </row>
    <row r="48" spans="1:8">
      <c r="A48" s="42" t="s">
        <v>16</v>
      </c>
      <c r="B48" s="7"/>
      <c r="C48" s="29">
        <f>F61</f>
        <v>163.30779906542057</v>
      </c>
      <c r="D48" s="188" t="s">
        <v>2</v>
      </c>
      <c r="E48" s="189" t="s">
        <v>2</v>
      </c>
      <c r="F48" s="190"/>
      <c r="G48" s="190"/>
      <c r="H48" s="174"/>
    </row>
    <row r="49" spans="1:8">
      <c r="A49" s="197" t="s">
        <v>2</v>
      </c>
      <c r="B49" s="191" t="s">
        <v>2</v>
      </c>
      <c r="C49" s="191"/>
      <c r="D49" s="191" t="s">
        <v>2</v>
      </c>
      <c r="E49" s="192"/>
      <c r="F49" s="192"/>
      <c r="G49" s="192"/>
      <c r="H49" s="174"/>
    </row>
    <row r="50" spans="1:8" ht="16.5" thickBot="1">
      <c r="A50" s="6" t="s">
        <v>17</v>
      </c>
      <c r="B50" s="6"/>
      <c r="C50" s="8" t="s">
        <v>18</v>
      </c>
      <c r="D50" s="8"/>
      <c r="E50" s="8"/>
      <c r="F50" s="8"/>
      <c r="G50" s="41">
        <f>(A59+A62)/2</f>
        <v>80.0140056022409</v>
      </c>
    </row>
    <row r="51" spans="1:8" ht="16.5" thickBot="1">
      <c r="A51" s="6" t="s">
        <v>19</v>
      </c>
      <c r="B51" s="6"/>
      <c r="C51" s="6"/>
      <c r="D51" s="6"/>
      <c r="E51" s="6"/>
      <c r="F51" s="55">
        <f>((1*0.041666)/(G50/100*F25))</f>
        <v>2.9756219149308593E-3</v>
      </c>
      <c r="G51" s="40"/>
    </row>
    <row r="52" spans="1:8">
      <c r="A52" s="174"/>
      <c r="B52" s="174"/>
      <c r="C52" s="174"/>
      <c r="D52" s="174"/>
      <c r="E52" s="174"/>
      <c r="F52" s="174"/>
      <c r="G52" s="174"/>
      <c r="H52" s="174"/>
    </row>
    <row r="53" spans="1:8">
      <c r="A53" s="202" t="s">
        <v>120</v>
      </c>
      <c r="B53" s="203"/>
      <c r="C53" s="203"/>
      <c r="D53" s="204"/>
      <c r="E53" s="205">
        <f>IF(F25&lt;10,75,IF(F25&lt;12,78,IF(F25&lt;13,80,IF(F25&lt;14,82,IF(F25&lt;15,84,IF(F25&lt;16,85,IF(F25&lt;18,87,90)))))))</f>
        <v>87</v>
      </c>
      <c r="F53" s="183" t="s">
        <v>121</v>
      </c>
      <c r="G53" s="206"/>
      <c r="H53" s="174"/>
    </row>
    <row r="54" spans="1:8" ht="16.5" thickBot="1">
      <c r="A54" s="594" t="s">
        <v>499</v>
      </c>
      <c r="B54" s="594"/>
      <c r="C54" s="594"/>
      <c r="D54" s="595"/>
      <c r="E54" s="229">
        <v>85</v>
      </c>
      <c r="F54" s="183" t="s">
        <v>121</v>
      </c>
      <c r="G54" s="207"/>
      <c r="H54" s="174"/>
    </row>
    <row r="55" spans="1:8" ht="16.5" thickBot="1">
      <c r="A55" s="209" t="s">
        <v>489</v>
      </c>
      <c r="B55" s="203"/>
      <c r="C55" s="203"/>
      <c r="D55" s="204"/>
      <c r="E55" s="161">
        <v>90</v>
      </c>
      <c r="F55" s="183"/>
      <c r="G55" s="207"/>
      <c r="H55" s="174"/>
    </row>
    <row r="56" spans="1:8" ht="18.75">
      <c r="A56" s="98" t="str">
        <f>IF(G10&gt;D10,"SEANCES","SEANCES NON CORRECTES, refaire le test SVP")</f>
        <v>SEANCES</v>
      </c>
      <c r="B56" s="99"/>
      <c r="C56" s="99"/>
      <c r="D56" s="99"/>
      <c r="E56" s="99"/>
      <c r="F56" s="208"/>
      <c r="G56" s="210"/>
      <c r="H56" s="174"/>
    </row>
    <row r="57" spans="1:8">
      <c r="A57" s="12" t="s">
        <v>21</v>
      </c>
      <c r="B57" s="12" t="s">
        <v>22</v>
      </c>
      <c r="C57" s="12" t="s">
        <v>23</v>
      </c>
      <c r="D57" s="13"/>
      <c r="E57" s="14" t="s">
        <v>24</v>
      </c>
      <c r="F57" s="33" t="s">
        <v>109</v>
      </c>
      <c r="G57" s="14"/>
    </row>
    <row r="58" spans="1:8">
      <c r="A58" s="10">
        <v>100</v>
      </c>
      <c r="B58" s="4">
        <f>F25</f>
        <v>17.5</v>
      </c>
      <c r="C58" s="4">
        <f t="shared" ref="C58:C64" si="0">(B58/3.6)</f>
        <v>4.8611111111111107</v>
      </c>
      <c r="D58" s="15">
        <v>1</v>
      </c>
      <c r="E58" s="16" t="s">
        <v>25</v>
      </c>
      <c r="F58" s="164">
        <f>G11</f>
        <v>187</v>
      </c>
      <c r="G58" s="31" t="s">
        <v>20</v>
      </c>
      <c r="H58" s="174"/>
    </row>
    <row r="59" spans="1:8">
      <c r="A59" s="232">
        <f>E55</f>
        <v>90</v>
      </c>
      <c r="B59" s="4">
        <f>(A59*F25/100)</f>
        <v>15.75</v>
      </c>
      <c r="C59" s="4">
        <f t="shared" si="0"/>
        <v>4.375</v>
      </c>
      <c r="D59" s="15">
        <v>2</v>
      </c>
      <c r="E59" s="16" t="s">
        <v>26</v>
      </c>
      <c r="F59" s="257">
        <f>((F58-F62)/(B58-B62)*B59+(F58-G64*B58))</f>
        <v>175.14559813084111</v>
      </c>
      <c r="G59" s="31" t="s">
        <v>20</v>
      </c>
      <c r="H59" s="174"/>
    </row>
    <row r="60" spans="1:8">
      <c r="A60" s="230">
        <f>IF(A59=80,A59-3,A59-5)</f>
        <v>85</v>
      </c>
      <c r="B60" s="4">
        <f>(A60*F25/100)</f>
        <v>14.875</v>
      </c>
      <c r="C60" s="4">
        <f t="shared" si="0"/>
        <v>4.1319444444444446</v>
      </c>
      <c r="D60" s="15">
        <v>3</v>
      </c>
      <c r="E60" s="16" t="s">
        <v>27</v>
      </c>
      <c r="F60" s="257">
        <f>((F58-F62)/(B58-B62)*B60+(F58-G64*B58))</f>
        <v>169.21839719626166</v>
      </c>
      <c r="G60" s="31" t="s">
        <v>20</v>
      </c>
      <c r="H60" s="174"/>
    </row>
    <row r="61" spans="1:8">
      <c r="A61" s="231">
        <f>(A62+A59)/2</f>
        <v>80.0140056022409</v>
      </c>
      <c r="B61" s="47">
        <f>(A61*F25/100)</f>
        <v>14.002450980392156</v>
      </c>
      <c r="C61" s="47">
        <f t="shared" si="0"/>
        <v>3.8895697167755987</v>
      </c>
      <c r="D61" s="46" t="s">
        <v>28</v>
      </c>
      <c r="E61" s="46"/>
      <c r="F61" s="257">
        <f>((F58-F62)/(B58-B62)*B61+(F58-G64*B58))</f>
        <v>163.30779906542057</v>
      </c>
      <c r="G61" s="48" t="s">
        <v>20</v>
      </c>
      <c r="H61" s="174"/>
    </row>
    <row r="62" spans="1:8">
      <c r="A62" s="17">
        <v>70.0280112044818</v>
      </c>
      <c r="B62" s="4">
        <f>(A62*F25/100)</f>
        <v>12.254901960784315</v>
      </c>
      <c r="C62" s="4">
        <f t="shared" si="0"/>
        <v>3.4041394335511983</v>
      </c>
      <c r="D62" s="15">
        <v>4</v>
      </c>
      <c r="E62" s="16" t="s">
        <v>29</v>
      </c>
      <c r="F62" s="257">
        <f>(81*G11/100)</f>
        <v>151.47</v>
      </c>
      <c r="G62" s="31" t="s">
        <v>20</v>
      </c>
      <c r="H62" s="174"/>
    </row>
    <row r="63" spans="1:8">
      <c r="A63" s="17">
        <v>135.01400560224093</v>
      </c>
      <c r="B63" s="4">
        <f>(A63*F25/100)</f>
        <v>23.627450980392165</v>
      </c>
      <c r="C63" s="4">
        <f t="shared" si="0"/>
        <v>6.5631808278867121</v>
      </c>
      <c r="D63" s="15">
        <v>5</v>
      </c>
      <c r="E63" s="16" t="s">
        <v>30</v>
      </c>
      <c r="F63" s="32"/>
      <c r="G63" s="31"/>
      <c r="H63" s="174"/>
    </row>
    <row r="64" spans="1:8">
      <c r="A64" s="17">
        <v>105.0420168067227</v>
      </c>
      <c r="B64" s="4">
        <f>(A64*F25/100)</f>
        <v>18.382352941176475</v>
      </c>
      <c r="C64" s="4">
        <f t="shared" si="0"/>
        <v>5.1062091503267988</v>
      </c>
      <c r="D64" s="15">
        <v>6</v>
      </c>
      <c r="E64" s="16" t="s">
        <v>31</v>
      </c>
      <c r="F64" s="32"/>
      <c r="G64" s="61">
        <f>(F58-F62)/(B58-B62)</f>
        <v>6.7739439252336462</v>
      </c>
      <c r="H64" s="174"/>
    </row>
    <row r="65" spans="1:8">
      <c r="A65" s="9"/>
      <c r="B65" s="9"/>
      <c r="C65" s="9"/>
      <c r="D65" s="5"/>
      <c r="E65" s="9"/>
      <c r="F65" s="9"/>
      <c r="G65" s="5"/>
      <c r="H65" s="174"/>
    </row>
    <row r="66" spans="1:8">
      <c r="A66" s="446">
        <v>1</v>
      </c>
      <c r="B66" s="18" t="s">
        <v>5</v>
      </c>
      <c r="C66" s="18" t="s">
        <v>32</v>
      </c>
      <c r="D66" s="174"/>
      <c r="E66" s="19" t="s">
        <v>33</v>
      </c>
      <c r="F66" s="19" t="s">
        <v>34</v>
      </c>
      <c r="G66" s="515"/>
      <c r="H66" s="174"/>
    </row>
    <row r="67" spans="1:8">
      <c r="A67" s="20"/>
      <c r="B67" s="11">
        <v>1000</v>
      </c>
      <c r="C67" s="53">
        <f>((1*0.041673)/(0.9992*F25))</f>
        <v>2.3832208624042089E-3</v>
      </c>
      <c r="D67" s="174"/>
      <c r="E67" s="516" t="s">
        <v>35</v>
      </c>
      <c r="F67" s="517">
        <f>IF(F25&lt;15,2,IF(F25&lt;18,4,6))</f>
        <v>4</v>
      </c>
      <c r="G67" s="515"/>
      <c r="H67" s="174"/>
    </row>
    <row r="68" spans="1:8">
      <c r="A68" s="21"/>
      <c r="B68" s="11">
        <v>800</v>
      </c>
      <c r="C68" s="53">
        <f>((0.8*0.041309)/(1.02*F25))</f>
        <v>1.8513837535014004E-3</v>
      </c>
      <c r="D68" s="174"/>
      <c r="E68" s="518" t="s">
        <v>36</v>
      </c>
      <c r="F68" s="518" t="s">
        <v>36</v>
      </c>
      <c r="G68" s="515"/>
      <c r="H68" s="174"/>
    </row>
    <row r="69" spans="1:8">
      <c r="A69" s="22"/>
      <c r="B69" s="11">
        <v>600</v>
      </c>
      <c r="C69" s="53">
        <f>((0.6*0.04227)/(1.0632783*F25))</f>
        <v>1.3630082950598567E-3</v>
      </c>
      <c r="D69" s="174"/>
      <c r="E69" s="518" t="s">
        <v>38</v>
      </c>
      <c r="F69" s="517">
        <f>IF(F25&lt;15,3,IF(F25&lt;18,6,8))</f>
        <v>6</v>
      </c>
      <c r="G69" s="515"/>
      <c r="H69" s="174"/>
    </row>
    <row r="70" spans="1:8">
      <c r="A70" s="23" t="s">
        <v>10</v>
      </c>
      <c r="B70" s="11">
        <v>500</v>
      </c>
      <c r="C70" s="53">
        <f>((0.5*0.042388)/(1.07596888*F25))</f>
        <v>1.1255768979914311E-3</v>
      </c>
      <c r="D70" s="174"/>
      <c r="E70" s="519"/>
      <c r="F70" s="518"/>
      <c r="G70" s="220"/>
      <c r="H70" s="174"/>
    </row>
    <row r="71" spans="1:8">
      <c r="A71" s="23" t="s">
        <v>37</v>
      </c>
      <c r="B71" s="11">
        <v>400</v>
      </c>
      <c r="C71" s="53">
        <f>((0.4*0.04249)/(1.0884879*F25))</f>
        <v>8.9224694183555006E-4</v>
      </c>
      <c r="D71" s="603" t="s">
        <v>1228</v>
      </c>
      <c r="E71" s="604"/>
      <c r="F71" s="604"/>
      <c r="G71" s="605"/>
      <c r="H71" s="174"/>
    </row>
    <row r="72" spans="1:8">
      <c r="A72" s="23" t="s">
        <v>39</v>
      </c>
      <c r="B72" s="11">
        <v>300</v>
      </c>
      <c r="C72" s="53">
        <f>((0.3*0.0426)/(1.1011254*F25))</f>
        <v>6.632175720274133E-4</v>
      </c>
      <c r="D72" s="520" t="s">
        <v>1229</v>
      </c>
      <c r="E72" s="521">
        <f>ROUNDUP(F75/6,0)</f>
        <v>150</v>
      </c>
      <c r="F72" s="574" t="s">
        <v>1230</v>
      </c>
      <c r="G72" s="574"/>
      <c r="H72" s="174"/>
    </row>
    <row r="73" spans="1:8">
      <c r="A73" s="21"/>
      <c r="B73" s="11">
        <v>200</v>
      </c>
      <c r="C73" s="53">
        <f>((0.2*0.04271)/(1.1138547*F25))</f>
        <v>4.3822078922348281E-4</v>
      </c>
      <c r="D73" s="522" t="s">
        <v>1231</v>
      </c>
      <c r="E73" s="523">
        <f>ROUNDUP(E72/2,0)</f>
        <v>75</v>
      </c>
      <c r="F73" s="574" t="s">
        <v>1230</v>
      </c>
      <c r="G73" s="574"/>
      <c r="H73" s="174"/>
    </row>
    <row r="74" spans="1:8">
      <c r="A74" s="23" t="s">
        <v>41</v>
      </c>
      <c r="B74" s="11">
        <v>150</v>
      </c>
      <c r="C74" s="53">
        <f>((0.15*0.04167)/(1.0004802*F25))</f>
        <v>3.5699999717278617E-4</v>
      </c>
      <c r="D74" s="575"/>
      <c r="E74" s="576"/>
      <c r="F74" s="576"/>
      <c r="G74" s="576"/>
      <c r="H74" s="174"/>
    </row>
    <row r="75" spans="1:8">
      <c r="A75" s="21"/>
      <c r="B75" s="11">
        <v>100</v>
      </c>
      <c r="C75" s="53">
        <f>((0.1*0.0428)/(1.1265461*F25))</f>
        <v>2.1709846456476883E-4</v>
      </c>
      <c r="E75">
        <f>C58*360</f>
        <v>1749.9999999999998</v>
      </c>
      <c r="F75">
        <f>ROUNDUP(E75/200,0)*100</f>
        <v>900</v>
      </c>
      <c r="H75" s="174"/>
    </row>
    <row r="76" spans="1:8">
      <c r="A76" s="24"/>
      <c r="B76" s="25" t="s">
        <v>42</v>
      </c>
      <c r="C76" s="26"/>
      <c r="H76" s="174"/>
    </row>
    <row r="77" spans="1:8">
      <c r="A77" s="183"/>
      <c r="B77" s="445"/>
      <c r="C77" s="445"/>
      <c r="H77" s="174"/>
    </row>
    <row r="78" spans="1:8">
      <c r="A78" s="183"/>
      <c r="B78" s="445"/>
      <c r="C78" s="445"/>
      <c r="D78" s="183"/>
      <c r="E78" s="183"/>
      <c r="F78" s="183"/>
      <c r="G78" s="174"/>
      <c r="H78" s="174"/>
    </row>
    <row r="79" spans="1:8">
      <c r="A79" s="183"/>
      <c r="B79" s="445"/>
      <c r="C79" s="445"/>
      <c r="D79" s="183"/>
      <c r="E79" s="183"/>
      <c r="F79" s="183"/>
      <c r="G79" s="174"/>
      <c r="H79" s="174"/>
    </row>
    <row r="80" spans="1:8">
      <c r="A80" s="9"/>
      <c r="B80" s="9"/>
      <c r="C80" s="9"/>
      <c r="D80" s="183"/>
      <c r="E80" s="211"/>
      <c r="F80" s="211"/>
      <c r="G80" s="183"/>
      <c r="H80" s="174"/>
    </row>
    <row r="81" spans="1:8">
      <c r="A81" s="446">
        <v>2</v>
      </c>
      <c r="B81" s="18" t="s">
        <v>5</v>
      </c>
      <c r="C81" s="18" t="s">
        <v>32</v>
      </c>
      <c r="E81" s="19" t="s">
        <v>33</v>
      </c>
      <c r="F81" s="19" t="s">
        <v>34</v>
      </c>
      <c r="G81" s="183"/>
      <c r="H81" s="174"/>
    </row>
    <row r="82" spans="1:8">
      <c r="A82" s="20"/>
      <c r="B82" s="11">
        <v>1000</v>
      </c>
      <c r="C82" s="53">
        <f>((1*0.04167)/(E55/100*G10))</f>
        <v>2.6457142857142855E-3</v>
      </c>
      <c r="D82" s="174"/>
      <c r="E82" s="214"/>
      <c r="F82" s="214"/>
      <c r="G82" s="174"/>
      <c r="H82" s="174"/>
    </row>
    <row r="83" spans="1:8">
      <c r="A83" s="27" t="s">
        <v>43</v>
      </c>
      <c r="B83" s="11">
        <v>1500</v>
      </c>
      <c r="C83" s="53">
        <f>((1.5*0.04167)/(E55/100*G10))</f>
        <v>3.9685714285714289E-3</v>
      </c>
      <c r="D83" s="174"/>
      <c r="E83" s="212" t="s">
        <v>44</v>
      </c>
      <c r="F83" s="213">
        <f>IF(F25&lt;15,3,IF(F25&lt;18,8,10))</f>
        <v>8</v>
      </c>
      <c r="G83" s="174"/>
      <c r="H83" s="174"/>
    </row>
    <row r="84" spans="1:8">
      <c r="A84" s="27" t="s">
        <v>45</v>
      </c>
      <c r="B84" s="11">
        <v>2000</v>
      </c>
      <c r="C84" s="53">
        <f>((2*0.04167)/(E55/100*G10))</f>
        <v>5.2914285714285711E-3</v>
      </c>
      <c r="D84" s="174"/>
      <c r="E84" s="212" t="s">
        <v>36</v>
      </c>
      <c r="F84" s="212" t="s">
        <v>36</v>
      </c>
      <c r="G84" s="174"/>
      <c r="H84" s="174"/>
    </row>
    <row r="85" spans="1:8">
      <c r="A85" s="234">
        <f>A59</f>
        <v>90</v>
      </c>
      <c r="B85" s="11">
        <v>2500</v>
      </c>
      <c r="C85" s="53">
        <f>((2.5*0.04167)/(E55/100*G10))</f>
        <v>6.614285714285714E-3</v>
      </c>
      <c r="D85" s="174"/>
      <c r="E85" s="212" t="s">
        <v>46</v>
      </c>
      <c r="F85" s="213">
        <f>IF(F25&lt;15,6,IF(F25&lt;18,10,12))</f>
        <v>10</v>
      </c>
      <c r="G85" s="174"/>
      <c r="H85" s="174"/>
    </row>
    <row r="86" spans="1:8">
      <c r="A86" s="37" t="s">
        <v>21</v>
      </c>
      <c r="B86" s="11">
        <v>3000</v>
      </c>
      <c r="C86" s="53">
        <f>((3*0.04167)/(E55/100*G10))</f>
        <v>7.9371428571428579E-3</v>
      </c>
      <c r="D86" s="174"/>
      <c r="E86" s="215"/>
      <c r="F86" s="216" t="s">
        <v>40</v>
      </c>
      <c r="G86" s="174"/>
      <c r="H86" s="174"/>
    </row>
    <row r="87" spans="1:8">
      <c r="A87" s="28" t="s">
        <v>47</v>
      </c>
      <c r="B87" s="25" t="s">
        <v>48</v>
      </c>
      <c r="C87" s="26"/>
      <c r="D87" s="174"/>
      <c r="E87" s="174"/>
      <c r="F87" s="174"/>
      <c r="G87" s="174"/>
      <c r="H87" s="174"/>
    </row>
    <row r="88" spans="1:8">
      <c r="A88" s="174"/>
      <c r="B88" s="174"/>
      <c r="C88" s="174"/>
      <c r="D88" s="174"/>
      <c r="E88" s="174"/>
      <c r="F88" s="174"/>
      <c r="G88" s="174"/>
      <c r="H88" s="174"/>
    </row>
    <row r="89" spans="1:8">
      <c r="A89" s="446">
        <v>3</v>
      </c>
      <c r="B89" s="447" t="s">
        <v>49</v>
      </c>
      <c r="C89" s="448"/>
      <c r="D89" s="448"/>
      <c r="E89" s="448"/>
      <c r="F89" s="448"/>
      <c r="G89" s="449"/>
      <c r="H89" s="174"/>
    </row>
    <row r="90" spans="1:8">
      <c r="A90" s="235">
        <f>A60</f>
        <v>85</v>
      </c>
      <c r="B90" s="18" t="s">
        <v>5</v>
      </c>
      <c r="C90" s="18" t="s">
        <v>32</v>
      </c>
      <c r="E90" s="589" t="s">
        <v>34</v>
      </c>
      <c r="F90" s="590"/>
      <c r="G90" s="591"/>
      <c r="H90" s="174"/>
    </row>
    <row r="91" spans="1:8">
      <c r="A91" s="27" t="s">
        <v>21</v>
      </c>
      <c r="B91" s="11">
        <v>1000</v>
      </c>
      <c r="C91" s="53">
        <f>((1*0.041666)/(A60/100*F25))</f>
        <v>2.801075630252101E-3</v>
      </c>
      <c r="D91" s="174"/>
      <c r="E91" s="451">
        <f>IF(F25&lt;15,6,IF(F25&lt;18,10,15))</f>
        <v>10</v>
      </c>
      <c r="F91" s="221" t="s">
        <v>36</v>
      </c>
      <c r="G91" s="452">
        <f>IF(F25&lt;15,8,IF(F25&lt;18,15,25))</f>
        <v>15</v>
      </c>
      <c r="H91" s="174"/>
    </row>
    <row r="92" spans="1:8">
      <c r="A92" s="38" t="s">
        <v>47</v>
      </c>
      <c r="B92" s="25" t="s">
        <v>51</v>
      </c>
      <c r="C92" s="26"/>
      <c r="D92" s="456">
        <f>((0.0416666667*E91)/E92)</f>
        <v>14.87523801570825</v>
      </c>
      <c r="E92" s="453">
        <f>(E91*C91)</f>
        <v>2.8010756302521009E-2</v>
      </c>
      <c r="F92" s="454" t="s">
        <v>36</v>
      </c>
      <c r="G92" s="455">
        <f>(G91*C91)</f>
        <v>4.2016134453781516E-2</v>
      </c>
      <c r="H92" s="174"/>
    </row>
    <row r="93" spans="1:8" ht="16.5" thickBot="1">
      <c r="A93" s="44"/>
      <c r="B93" s="43"/>
      <c r="C93" s="43"/>
      <c r="D93" s="174"/>
      <c r="E93" s="223"/>
      <c r="F93" s="222"/>
      <c r="G93" s="224"/>
      <c r="H93" s="174"/>
    </row>
    <row r="94" spans="1:8">
      <c r="A94" s="233">
        <f>A61</f>
        <v>80.0140056022409</v>
      </c>
      <c r="B94" s="457" t="s">
        <v>52</v>
      </c>
      <c r="C94" s="458"/>
      <c r="D94" s="459"/>
      <c r="E94" s="45" t="s">
        <v>53</v>
      </c>
      <c r="F94" s="173">
        <v>10000</v>
      </c>
      <c r="G94" s="56" t="s">
        <v>54</v>
      </c>
      <c r="H94" s="174"/>
    </row>
    <row r="95" spans="1:8" ht="16.5" thickBot="1">
      <c r="A95" s="228" t="s">
        <v>55</v>
      </c>
      <c r="B95" s="526">
        <f>((0.0416666667*F94/1000)/F95)</f>
        <v>14.00267503439467</v>
      </c>
      <c r="C95" s="527" t="s">
        <v>56</v>
      </c>
      <c r="D95" s="528">
        <f>C48</f>
        <v>163.30779906542057</v>
      </c>
      <c r="E95" s="529" t="s">
        <v>57</v>
      </c>
      <c r="F95" s="525">
        <f>(F94*F51)/1000</f>
        <v>2.975621914930859E-2</v>
      </c>
      <c r="G95" s="530" t="s">
        <v>58</v>
      </c>
      <c r="H95" s="174"/>
    </row>
    <row r="96" spans="1:8">
      <c r="A96" s="524" t="s">
        <v>1214</v>
      </c>
      <c r="B96" s="587" t="s">
        <v>1232</v>
      </c>
      <c r="C96" s="588"/>
      <c r="D96" s="554">
        <v>80</v>
      </c>
      <c r="E96" s="531">
        <f>A94</f>
        <v>80.0140056022409</v>
      </c>
      <c r="F96" s="552">
        <f>((A94*F25)/100)*D96/60</f>
        <v>18.669934640522875</v>
      </c>
      <c r="G96" s="553">
        <f>TIME(INT(D96/60),((D96/60)-INT(D96/60))*60,"0")</f>
        <v>5.5555555555555552E-2</v>
      </c>
      <c r="H96" s="174"/>
    </row>
    <row r="97" spans="1:8">
      <c r="H97" s="174"/>
    </row>
    <row r="98" spans="1:8">
      <c r="H98" s="174"/>
    </row>
    <row r="99" spans="1:8">
      <c r="H99" s="174"/>
    </row>
    <row r="100" spans="1:8">
      <c r="A100" s="446">
        <v>4</v>
      </c>
      <c r="B100" s="447" t="s">
        <v>59</v>
      </c>
      <c r="C100" s="448"/>
      <c r="D100" s="448"/>
      <c r="E100" s="448"/>
      <c r="F100" s="448"/>
      <c r="G100" s="449"/>
      <c r="H100" s="174"/>
    </row>
    <row r="101" spans="1:8">
      <c r="A101" s="39" t="s">
        <v>60</v>
      </c>
      <c r="B101" s="18" t="s">
        <v>5</v>
      </c>
      <c r="C101" s="18" t="s">
        <v>32</v>
      </c>
      <c r="E101" s="19" t="s">
        <v>34</v>
      </c>
      <c r="F101" s="49" t="s">
        <v>50</v>
      </c>
      <c r="G101" s="34"/>
      <c r="H101" s="174"/>
    </row>
    <row r="102" spans="1:8">
      <c r="A102" s="174"/>
      <c r="B102" s="11">
        <v>1000</v>
      </c>
      <c r="C102" s="53">
        <f>((1*0.04167)/(0.7002*F25))</f>
        <v>3.4006610356224747E-3</v>
      </c>
      <c r="D102" s="174"/>
      <c r="E102" s="451">
        <f>IF(F25&lt;15,6,IF(F25&lt;18,10,15))</f>
        <v>10</v>
      </c>
      <c r="F102" s="221" t="s">
        <v>36</v>
      </c>
      <c r="G102" s="452">
        <f>IF(F25&lt;15,8,IF(F25&lt;18,15,25))</f>
        <v>15</v>
      </c>
      <c r="H102" s="174"/>
    </row>
    <row r="103" spans="1:8">
      <c r="A103" s="174"/>
      <c r="B103" s="25" t="s">
        <v>51</v>
      </c>
      <c r="C103" s="26"/>
      <c r="D103" s="456">
        <f>((0.0416666667*E102)/E103)</f>
        <v>12.252519808218143</v>
      </c>
      <c r="E103" s="453">
        <f>(E102*C102)</f>
        <v>3.4006610356224751E-2</v>
      </c>
      <c r="F103" s="460" t="s">
        <v>36</v>
      </c>
      <c r="G103" s="461">
        <f>(G102*C102)</f>
        <v>5.1009915534337119E-2</v>
      </c>
      <c r="H103" s="174"/>
    </row>
    <row r="104" spans="1:8">
      <c r="A104" s="183"/>
      <c r="B104" s="183"/>
      <c r="C104" s="225"/>
      <c r="D104" s="211"/>
      <c r="E104" s="211"/>
      <c r="F104" s="211"/>
      <c r="G104" s="183"/>
      <c r="H104" s="174"/>
    </row>
    <row r="105" spans="1:8">
      <c r="A105" s="450">
        <v>5</v>
      </c>
      <c r="B105" s="444" t="s">
        <v>5</v>
      </c>
      <c r="C105" s="444" t="s">
        <v>32</v>
      </c>
      <c r="E105" s="19" t="s">
        <v>33</v>
      </c>
      <c r="F105" s="19" t="s">
        <v>34</v>
      </c>
      <c r="H105" s="174"/>
    </row>
    <row r="106" spans="1:8">
      <c r="A106" s="20"/>
      <c r="B106" s="11">
        <v>150</v>
      </c>
      <c r="C106" s="54">
        <f>((0.15*0.04167)/(1.3506*F25))</f>
        <v>2.6445389350764737E-4</v>
      </c>
      <c r="D106" s="174"/>
      <c r="E106" s="217" t="s">
        <v>61</v>
      </c>
      <c r="F106" s="214"/>
      <c r="G106" s="174"/>
      <c r="H106" s="174"/>
    </row>
    <row r="107" spans="1:8">
      <c r="A107" s="27" t="s">
        <v>62</v>
      </c>
      <c r="B107" s="11">
        <v>200</v>
      </c>
      <c r="C107" s="54">
        <f>((0.2*0.04167)/(1.3504*F25))</f>
        <v>3.5265741367637097E-4</v>
      </c>
      <c r="D107" s="174"/>
      <c r="E107" s="212" t="s">
        <v>63</v>
      </c>
      <c r="F107" s="212" t="s">
        <v>64</v>
      </c>
      <c r="G107" s="174"/>
      <c r="H107" s="174"/>
    </row>
    <row r="108" spans="1:8">
      <c r="A108" s="23" t="s">
        <v>65</v>
      </c>
      <c r="B108" s="11">
        <v>250</v>
      </c>
      <c r="C108" s="54">
        <f>((0.25*0.04167)/(1.3506*F25))</f>
        <v>4.407564891794123E-4</v>
      </c>
      <c r="D108" s="174"/>
      <c r="E108" s="212" t="s">
        <v>66</v>
      </c>
      <c r="F108" s="212" t="s">
        <v>36</v>
      </c>
      <c r="G108" s="174"/>
      <c r="H108" s="174"/>
    </row>
    <row r="109" spans="1:8">
      <c r="A109" s="51" t="s">
        <v>67</v>
      </c>
      <c r="B109" s="11">
        <v>300</v>
      </c>
      <c r="C109" s="54">
        <f>((0.3*0.04167)/(1.3504*F25))</f>
        <v>5.2898612051455651E-4</v>
      </c>
      <c r="D109" s="174"/>
      <c r="E109" s="219" t="s">
        <v>68</v>
      </c>
      <c r="F109" s="212" t="s">
        <v>69</v>
      </c>
      <c r="G109" s="174"/>
      <c r="H109" s="174"/>
    </row>
    <row r="110" spans="1:8">
      <c r="A110" s="50" t="s">
        <v>70</v>
      </c>
      <c r="B110" s="462" t="s">
        <v>71</v>
      </c>
      <c r="C110" s="463"/>
      <c r="D110" s="174"/>
      <c r="E110" s="216"/>
      <c r="F110" s="215"/>
      <c r="G110" s="174"/>
      <c r="H110" s="174"/>
    </row>
    <row r="111" spans="1:8">
      <c r="A111" s="211"/>
      <c r="B111" s="211"/>
      <c r="C111" s="211"/>
      <c r="D111" s="211"/>
      <c r="E111" s="211"/>
      <c r="F111" s="211"/>
      <c r="G111" s="183"/>
      <c r="H111" s="174"/>
    </row>
    <row r="112" spans="1:8">
      <c r="A112" s="446">
        <v>6</v>
      </c>
      <c r="B112" s="18" t="s">
        <v>5</v>
      </c>
      <c r="C112" s="35" t="s">
        <v>72</v>
      </c>
      <c r="D112" s="36"/>
      <c r="E112" s="19" t="s">
        <v>33</v>
      </c>
      <c r="F112" s="19" t="s">
        <v>34</v>
      </c>
      <c r="G112" s="174"/>
      <c r="H112" s="174"/>
    </row>
    <row r="113" spans="1:8">
      <c r="A113" s="20"/>
      <c r="B113" s="11">
        <v>500</v>
      </c>
      <c r="C113" s="54">
        <f>((0.5*0.04225)/(1.085*F25))</f>
        <v>1.1125740618828177E-3</v>
      </c>
      <c r="D113" s="54">
        <f>((0.5*0.04169)/(1.1*F25))</f>
        <v>1.0828571428571428E-3</v>
      </c>
      <c r="E113" s="217" t="s">
        <v>61</v>
      </c>
      <c r="F113" s="218">
        <f>IF(F25&lt;15,1.5,IF(F25&lt;18,2,5))</f>
        <v>2</v>
      </c>
      <c r="G113" s="174"/>
      <c r="H113" s="174"/>
    </row>
    <row r="114" spans="1:8">
      <c r="A114" s="27" t="s">
        <v>62</v>
      </c>
      <c r="B114" s="11">
        <v>600</v>
      </c>
      <c r="C114" s="54">
        <f>((0.6*0.04225)/(1.085*F25))</f>
        <v>1.3350888742593812E-3</v>
      </c>
      <c r="D114" s="54">
        <f>((0.6*0.04169)/(1.1*F25))</f>
        <v>1.2994285714285714E-3</v>
      </c>
      <c r="E114" s="212" t="s">
        <v>63</v>
      </c>
      <c r="F114" s="212" t="s">
        <v>36</v>
      </c>
      <c r="G114" s="174"/>
      <c r="H114" s="174"/>
    </row>
    <row r="115" spans="1:8">
      <c r="A115" s="23" t="s">
        <v>73</v>
      </c>
      <c r="B115" s="11">
        <v>800</v>
      </c>
      <c r="C115" s="54">
        <f>((0.8*0.043648)/(1.1*F25))</f>
        <v>1.8139428571428572E-3</v>
      </c>
      <c r="D115" s="54">
        <f>((0.8*0.043615)/(1.12*F25))</f>
        <v>1.780204081632653E-3</v>
      </c>
      <c r="E115" s="212" t="s">
        <v>66</v>
      </c>
      <c r="F115" s="213">
        <f>IF(F25&lt;15,1.8,IF(F25&lt;18,5,8))</f>
        <v>5</v>
      </c>
      <c r="G115" s="174"/>
      <c r="H115" s="174"/>
    </row>
    <row r="116" spans="1:8">
      <c r="A116" s="51" t="s">
        <v>74</v>
      </c>
      <c r="B116" s="11">
        <v>1000</v>
      </c>
      <c r="C116" s="54">
        <f>((1*0.04167)/(1.05*F25))</f>
        <v>2.2677551020408161E-3</v>
      </c>
      <c r="D116" s="54">
        <f>((1*0.041667)/(1.07*F25))</f>
        <v>2.2252069425901201E-3</v>
      </c>
      <c r="E116" s="219" t="s">
        <v>68</v>
      </c>
      <c r="F116" s="212" t="s">
        <v>40</v>
      </c>
      <c r="G116" s="174"/>
      <c r="H116" s="174"/>
    </row>
    <row r="117" spans="1:8">
      <c r="A117" s="50" t="s">
        <v>70</v>
      </c>
      <c r="B117" s="462" t="s">
        <v>71</v>
      </c>
      <c r="C117" s="463"/>
      <c r="D117" s="464"/>
      <c r="E117" s="216"/>
      <c r="F117" s="220"/>
      <c r="G117" s="174"/>
      <c r="H117" s="174"/>
    </row>
    <row r="118" spans="1:8">
      <c r="A118" s="226" t="s">
        <v>75</v>
      </c>
      <c r="B118" s="226"/>
      <c r="C118" s="226"/>
      <c r="D118" s="226"/>
      <c r="E118" s="226"/>
      <c r="F118" s="226"/>
      <c r="G118" s="226"/>
      <c r="H118" s="174"/>
    </row>
    <row r="119" spans="1:8">
      <c r="A119" s="227" t="s">
        <v>76</v>
      </c>
      <c r="B119" s="227"/>
      <c r="C119" s="227"/>
      <c r="D119" s="227"/>
      <c r="E119" s="227"/>
      <c r="F119" s="227"/>
      <c r="G119" s="227"/>
      <c r="H119" s="174"/>
    </row>
    <row r="120" spans="1:8">
      <c r="A120" s="174"/>
      <c r="B120" s="174"/>
      <c r="C120" s="174"/>
      <c r="D120" s="174"/>
      <c r="E120" s="174"/>
      <c r="F120" s="174"/>
      <c r="G120" s="174"/>
      <c r="H120" s="174"/>
    </row>
  </sheetData>
  <sheetProtection password="8026" sheet="1" objects="1" scenarios="1"/>
  <mergeCells count="18">
    <mergeCell ref="B96:C96"/>
    <mergeCell ref="E90:G90"/>
    <mergeCell ref="E20:F20"/>
    <mergeCell ref="E9:G9"/>
    <mergeCell ref="A54:D54"/>
    <mergeCell ref="C46:E46"/>
    <mergeCell ref="E14:H14"/>
    <mergeCell ref="E16:G16"/>
    <mergeCell ref="E17:G17"/>
    <mergeCell ref="D71:G71"/>
    <mergeCell ref="F72:G72"/>
    <mergeCell ref="F73:G73"/>
    <mergeCell ref="D74:G74"/>
    <mergeCell ref="F3:G3"/>
    <mergeCell ref="A5:H5"/>
    <mergeCell ref="E11:F11"/>
    <mergeCell ref="E10:F10"/>
    <mergeCell ref="E8:G8"/>
  </mergeCells>
  <phoneticPr fontId="0" type="noConversion"/>
  <printOptions horizontalCentered="1" verticalCentered="1"/>
  <pageMargins left="0.19685039370078741" right="0.19685039370078741" top="0.59055118110236227" bottom="0.59055118110236227" header="0.51181102362204722" footer="0.51181102362204722"/>
  <pageSetup paperSize="9" scale="95" orientation="portrait" horizontalDpi="180" verticalDpi="180" r:id="rId1"/>
  <headerFooter alignWithMargins="0">
    <oddFooter xml:space="preserve">&amp;C </oddFooter>
  </headerFooter>
  <drawing r:id="rId2"/>
  <legacyDrawing r:id="rId3"/>
</worksheet>
</file>

<file path=xl/worksheets/sheet4.xml><?xml version="1.0" encoding="utf-8"?>
<worksheet xmlns="http://schemas.openxmlformats.org/spreadsheetml/2006/main" xmlns:r="http://schemas.openxmlformats.org/officeDocument/2006/relationships">
  <sheetPr codeName="Feuil4"/>
  <dimension ref="A1:G41"/>
  <sheetViews>
    <sheetView workbookViewId="0">
      <selection activeCell="J22" sqref="J22"/>
    </sheetView>
  </sheetViews>
  <sheetFormatPr baseColWidth="10" defaultRowHeight="15.75"/>
  <cols>
    <col min="5" max="5" width="13.5" bestFit="1" customWidth="1"/>
    <col min="6" max="6" width="9.5" style="62" bestFit="1" customWidth="1"/>
  </cols>
  <sheetData>
    <row r="1" spans="1:7">
      <c r="B1" s="606" t="s">
        <v>1249</v>
      </c>
      <c r="C1" s="607"/>
      <c r="F1" s="606" t="s">
        <v>1250</v>
      </c>
      <c r="G1" s="607"/>
    </row>
    <row r="2" spans="1:7">
      <c r="F2" s="610" t="s">
        <v>494</v>
      </c>
      <c r="G2" s="610"/>
    </row>
    <row r="3" spans="1:7">
      <c r="B3" s="100" t="s">
        <v>22</v>
      </c>
      <c r="C3" s="58" t="s">
        <v>6</v>
      </c>
      <c r="D3" s="58" t="s">
        <v>122</v>
      </c>
      <c r="F3" s="611" t="s">
        <v>495</v>
      </c>
      <c r="G3" s="611"/>
    </row>
    <row r="4" spans="1:7">
      <c r="A4" s="612" t="s">
        <v>123</v>
      </c>
      <c r="B4" s="613">
        <v>8</v>
      </c>
      <c r="C4" s="89">
        <f>IF(Vam_Eval!E3&gt;0,Vam_Eval!E3,"")</f>
        <v>96</v>
      </c>
      <c r="D4" s="88">
        <v>0</v>
      </c>
      <c r="E4" s="608" t="s">
        <v>1251</v>
      </c>
      <c r="F4" s="166" t="s">
        <v>22</v>
      </c>
      <c r="G4" s="166" t="s">
        <v>6</v>
      </c>
    </row>
    <row r="5" spans="1:7">
      <c r="A5" s="612"/>
      <c r="B5" s="614"/>
      <c r="C5" s="466">
        <f>IF(Vam_Eval!E7&gt;0,Vam_Eval!E7,"")</f>
        <v>115</v>
      </c>
      <c r="D5" s="88">
        <v>1</v>
      </c>
      <c r="E5" s="609"/>
      <c r="F5" s="561">
        <v>8</v>
      </c>
      <c r="G5" s="560">
        <v>115</v>
      </c>
    </row>
    <row r="6" spans="1:7">
      <c r="B6" s="167">
        <v>8.5</v>
      </c>
      <c r="C6" s="470">
        <f>IF(Vam_Eval!E11&gt;0,Vam_Eval!E11,"")</f>
        <v>120</v>
      </c>
      <c r="D6" s="10">
        <v>2</v>
      </c>
      <c r="F6" s="560">
        <v>8.5</v>
      </c>
      <c r="G6" s="168">
        <v>120</v>
      </c>
    </row>
    <row r="7" spans="1:7">
      <c r="A7" s="91" t="s">
        <v>419</v>
      </c>
      <c r="B7" s="469">
        <v>9</v>
      </c>
      <c r="C7" s="470">
        <f>IF(Vam_Eval!E15&gt;0,Vam_Eval!E15,"")</f>
        <v>126</v>
      </c>
      <c r="D7" s="10">
        <v>3</v>
      </c>
      <c r="F7" s="168">
        <v>9</v>
      </c>
      <c r="G7" s="168">
        <v>126</v>
      </c>
    </row>
    <row r="8" spans="1:7">
      <c r="A8" s="91" t="s">
        <v>420</v>
      </c>
      <c r="B8" s="469">
        <v>9.5</v>
      </c>
      <c r="C8" s="470">
        <f>IF(Vam_Eval!E19&gt;0,Vam_Eval!E19,"")</f>
        <v>135</v>
      </c>
      <c r="D8" s="10">
        <v>4</v>
      </c>
      <c r="F8" s="168">
        <v>9.5</v>
      </c>
      <c r="G8" s="168">
        <v>135</v>
      </c>
    </row>
    <row r="9" spans="1:7">
      <c r="A9" s="91" t="s">
        <v>421</v>
      </c>
      <c r="B9" s="469">
        <v>10</v>
      </c>
      <c r="C9" s="470">
        <f>IF(Vam_Eval!E23&gt;0,Vam_Eval!E23,"")</f>
        <v>144</v>
      </c>
      <c r="D9" s="10">
        <v>5</v>
      </c>
      <c r="E9" s="608" t="s">
        <v>1252</v>
      </c>
      <c r="F9" s="168">
        <v>10</v>
      </c>
      <c r="G9" s="168">
        <v>144</v>
      </c>
    </row>
    <row r="10" spans="1:7">
      <c r="A10" s="91" t="s">
        <v>422</v>
      </c>
      <c r="B10" s="469">
        <v>10.5</v>
      </c>
      <c r="C10" s="470">
        <f>IF(Vam_Eval!E27&gt;0,Vam_Eval!E27,"")</f>
        <v>148</v>
      </c>
      <c r="D10" s="10">
        <v>6</v>
      </c>
      <c r="E10" s="609"/>
      <c r="F10" s="168">
        <v>10.5</v>
      </c>
      <c r="G10" s="168">
        <v>148</v>
      </c>
    </row>
    <row r="11" spans="1:7">
      <c r="A11" s="91" t="s">
        <v>423</v>
      </c>
      <c r="B11" s="469">
        <v>11</v>
      </c>
      <c r="C11" s="470">
        <f>IF(Vam_Eval!E31&gt;0,Vam_Eval!E31,"")</f>
        <v>150</v>
      </c>
      <c r="D11" s="10">
        <v>7</v>
      </c>
      <c r="F11" s="168">
        <v>11</v>
      </c>
      <c r="G11" s="168">
        <v>150</v>
      </c>
    </row>
    <row r="12" spans="1:7">
      <c r="A12" s="91" t="s">
        <v>424</v>
      </c>
      <c r="B12" s="469">
        <v>11.5</v>
      </c>
      <c r="C12" s="470">
        <f>IF(Vam_Eval!E35&gt;0,Vam_Eval!E35,"")</f>
        <v>154</v>
      </c>
      <c r="D12" s="10">
        <v>8</v>
      </c>
      <c r="F12" s="168">
        <v>11.5</v>
      </c>
      <c r="G12" s="168">
        <v>154</v>
      </c>
    </row>
    <row r="13" spans="1:7">
      <c r="A13" s="91" t="s">
        <v>425</v>
      </c>
      <c r="B13" s="469">
        <v>12</v>
      </c>
      <c r="C13" s="470">
        <f>IF(Vam_Eval!E39&gt;0,Vam_Eval!E39,"")</f>
        <v>158</v>
      </c>
      <c r="D13" s="10">
        <v>9</v>
      </c>
      <c r="F13" s="168">
        <v>12</v>
      </c>
      <c r="G13" s="168">
        <v>158</v>
      </c>
    </row>
    <row r="14" spans="1:7">
      <c r="A14" s="91" t="s">
        <v>426</v>
      </c>
      <c r="B14" s="469">
        <v>12.5</v>
      </c>
      <c r="C14" s="470">
        <f>IF(Vam_Eval!E43&gt;0,Vam_Eval!E43,"")</f>
        <v>161</v>
      </c>
      <c r="D14" s="10">
        <v>10</v>
      </c>
      <c r="F14" s="168">
        <v>12.5</v>
      </c>
      <c r="G14" s="168">
        <v>161</v>
      </c>
    </row>
    <row r="15" spans="1:7">
      <c r="A15" s="91" t="s">
        <v>427</v>
      </c>
      <c r="B15" s="469">
        <v>13</v>
      </c>
      <c r="C15" s="470">
        <f>IF(Vam_Eval!E47&gt;0,Vam_Eval!E47,"")</f>
        <v>165</v>
      </c>
      <c r="D15" s="10">
        <v>11</v>
      </c>
      <c r="F15" s="168">
        <v>13</v>
      </c>
      <c r="G15" s="168">
        <v>165</v>
      </c>
    </row>
    <row r="16" spans="1:7">
      <c r="A16" s="467" t="s">
        <v>428</v>
      </c>
      <c r="B16" s="469">
        <v>13.5</v>
      </c>
      <c r="C16" s="470">
        <f>IF(Vam_Eval!E51&gt;0,Vam_Eval!E51,"")</f>
        <v>169</v>
      </c>
      <c r="D16" s="468">
        <v>12</v>
      </c>
      <c r="F16" s="168">
        <v>13.5</v>
      </c>
      <c r="G16" s="168">
        <v>169</v>
      </c>
    </row>
    <row r="17" spans="1:7">
      <c r="A17" s="467" t="s">
        <v>429</v>
      </c>
      <c r="B17" s="469">
        <v>14</v>
      </c>
      <c r="C17" s="470">
        <f>IF(Vam_Eval!E55&gt;0,Vam_Eval!E55,"")</f>
        <v>171</v>
      </c>
      <c r="D17" s="468">
        <v>13</v>
      </c>
      <c r="F17" s="168">
        <v>14</v>
      </c>
      <c r="G17" s="168">
        <v>171</v>
      </c>
    </row>
    <row r="18" spans="1:7">
      <c r="A18" s="467" t="s">
        <v>430</v>
      </c>
      <c r="B18" s="469">
        <v>14.5</v>
      </c>
      <c r="C18" s="470">
        <f>IF(Vam_Eval!E59&gt;0,Vam_Eval!E59,"")</f>
        <v>175</v>
      </c>
      <c r="D18" s="468">
        <v>14</v>
      </c>
      <c r="F18" s="168">
        <v>14.5</v>
      </c>
      <c r="G18" s="168">
        <v>175</v>
      </c>
    </row>
    <row r="19" spans="1:7">
      <c r="A19" s="467" t="s">
        <v>431</v>
      </c>
      <c r="B19" s="469">
        <v>15</v>
      </c>
      <c r="C19" s="470">
        <f>IF(Vam_Eval!E63&gt;0,Vam_Eval!E63,"")</f>
        <v>176</v>
      </c>
      <c r="D19" s="468">
        <v>15</v>
      </c>
      <c r="F19" s="168">
        <v>15</v>
      </c>
      <c r="G19" s="168">
        <v>176</v>
      </c>
    </row>
    <row r="20" spans="1:7">
      <c r="A20" s="467" t="s">
        <v>432</v>
      </c>
      <c r="B20" s="469">
        <v>15.5</v>
      </c>
      <c r="C20" s="470">
        <f>IF(Vam_Eval!E67&gt;0,Vam_Eval!E67,"")</f>
        <v>176</v>
      </c>
      <c r="D20" s="468">
        <v>16</v>
      </c>
      <c r="F20" s="168">
        <v>15.5</v>
      </c>
      <c r="G20" s="168">
        <v>176</v>
      </c>
    </row>
    <row r="21" spans="1:7">
      <c r="A21" s="467" t="s">
        <v>433</v>
      </c>
      <c r="B21" s="469">
        <v>16</v>
      </c>
      <c r="C21" s="470">
        <f>IF(Vam_Eval!E71&gt;0,Vam_Eval!E71,"")</f>
        <v>180</v>
      </c>
      <c r="D21" s="468">
        <v>17</v>
      </c>
      <c r="E21" s="413" t="s">
        <v>492</v>
      </c>
      <c r="F21" s="168">
        <v>16</v>
      </c>
      <c r="G21" s="168">
        <v>180</v>
      </c>
    </row>
    <row r="22" spans="1:7">
      <c r="A22" s="467" t="s">
        <v>434</v>
      </c>
      <c r="B22" s="469">
        <v>16.5</v>
      </c>
      <c r="C22" s="470">
        <f>IF(Vam_Eval!E75&gt;0,Vam_Eval!E75,"")</f>
        <v>183</v>
      </c>
      <c r="D22" s="468">
        <v>18</v>
      </c>
      <c r="E22" s="169" t="s">
        <v>1108</v>
      </c>
      <c r="F22" s="168">
        <v>16.5</v>
      </c>
      <c r="G22" s="168">
        <v>183</v>
      </c>
    </row>
    <row r="23" spans="1:7">
      <c r="A23" s="467" t="s">
        <v>435</v>
      </c>
      <c r="B23" s="469">
        <v>17</v>
      </c>
      <c r="C23" s="470">
        <f>IF(Vam_Eval!L11&gt;0,Vam_Eval!L11,"")</f>
        <v>185</v>
      </c>
      <c r="D23" s="468">
        <v>19</v>
      </c>
      <c r="E23" s="169" t="s">
        <v>493</v>
      </c>
      <c r="F23" s="168">
        <v>17</v>
      </c>
      <c r="G23" s="168">
        <v>185</v>
      </c>
    </row>
    <row r="24" spans="1:7">
      <c r="A24" s="467" t="s">
        <v>436</v>
      </c>
      <c r="B24" s="469">
        <v>17.5</v>
      </c>
      <c r="C24" s="470">
        <f>IF(Vam_Eval!L15&gt;0,Vam_Eval!L15,"")</f>
        <v>187</v>
      </c>
      <c r="D24" s="468">
        <v>20</v>
      </c>
      <c r="E24" s="169" t="s">
        <v>491</v>
      </c>
      <c r="F24" s="168">
        <v>17.5</v>
      </c>
      <c r="G24" s="168">
        <v>187</v>
      </c>
    </row>
    <row r="25" spans="1:7">
      <c r="A25" s="467" t="s">
        <v>437</v>
      </c>
      <c r="B25" s="469">
        <v>18</v>
      </c>
      <c r="C25" s="470" t="str">
        <f>IF(Vam_Eval!L19&gt;0,Vam_Eval!L19,"")</f>
        <v/>
      </c>
      <c r="D25" s="468">
        <v>21</v>
      </c>
      <c r="F25" s="168"/>
      <c r="G25" s="168"/>
    </row>
    <row r="26" spans="1:7">
      <c r="A26" s="467" t="s">
        <v>438</v>
      </c>
      <c r="B26" s="469">
        <v>18.5</v>
      </c>
      <c r="C26" s="470" t="str">
        <f>IF(Vam_Eval!L23&gt;0,Vam_Eval!L23,"")</f>
        <v/>
      </c>
      <c r="D26" s="468">
        <v>22</v>
      </c>
      <c r="F26" s="168"/>
      <c r="G26" s="168"/>
    </row>
    <row r="27" spans="1:7">
      <c r="A27" s="467" t="s">
        <v>439</v>
      </c>
      <c r="B27" s="469">
        <v>19</v>
      </c>
      <c r="C27" s="470" t="str">
        <f>IF(Vam_Eval!L27&gt;0,Vam_Eval!L27,"")</f>
        <v/>
      </c>
      <c r="D27" s="468">
        <v>23</v>
      </c>
      <c r="F27" s="168"/>
      <c r="G27" s="168"/>
    </row>
    <row r="28" spans="1:7">
      <c r="A28" s="467" t="s">
        <v>440</v>
      </c>
      <c r="B28" s="469">
        <v>19.5</v>
      </c>
      <c r="C28" s="470" t="str">
        <f>IF(Vam_Eval!L31&gt;0,Vam_Eval!L31,"")</f>
        <v xml:space="preserve"> </v>
      </c>
      <c r="D28" s="468">
        <v>24</v>
      </c>
      <c r="F28" s="168"/>
      <c r="G28" s="168"/>
    </row>
    <row r="29" spans="1:7">
      <c r="A29" s="467" t="s">
        <v>441</v>
      </c>
      <c r="B29" s="469">
        <v>20</v>
      </c>
      <c r="C29" s="470" t="str">
        <f>IF(Vam_Eval!L35&gt;0,Vam_Eval!L35,"")</f>
        <v xml:space="preserve"> </v>
      </c>
      <c r="D29" s="468">
        <v>25</v>
      </c>
      <c r="F29" s="168"/>
      <c r="G29" s="168"/>
    </row>
    <row r="30" spans="1:7">
      <c r="A30" s="467" t="s">
        <v>442</v>
      </c>
      <c r="B30" s="469">
        <v>20.5</v>
      </c>
      <c r="C30" s="470" t="str">
        <f>IF(Vam_Eval!L39&gt;0,Vam_Eval!L39,"")</f>
        <v xml:space="preserve"> </v>
      </c>
      <c r="D30" s="468">
        <v>26</v>
      </c>
      <c r="F30" s="168"/>
      <c r="G30" s="168"/>
    </row>
    <row r="31" spans="1:7">
      <c r="A31" s="467" t="s">
        <v>443</v>
      </c>
      <c r="B31" s="469">
        <v>21</v>
      </c>
      <c r="C31" s="470" t="str">
        <f>IF(Vam_Eval!L43&gt;0,Vam_Eval!L43,"")</f>
        <v xml:space="preserve"> </v>
      </c>
      <c r="D31" s="468">
        <v>27</v>
      </c>
      <c r="F31" s="168"/>
      <c r="G31" s="168"/>
    </row>
    <row r="32" spans="1:7">
      <c r="A32" s="467" t="s">
        <v>444</v>
      </c>
      <c r="B32" s="469">
        <v>21.5</v>
      </c>
      <c r="C32" s="470" t="str">
        <f>IF(Vam_Eval!L47&gt;0,Vam_Eval!L47,"")</f>
        <v xml:space="preserve"> </v>
      </c>
      <c r="D32" s="468">
        <v>28</v>
      </c>
      <c r="F32" s="168"/>
      <c r="G32" s="168"/>
    </row>
    <row r="33" spans="1:7">
      <c r="A33" s="467" t="s">
        <v>445</v>
      </c>
      <c r="B33" s="469">
        <v>22</v>
      </c>
      <c r="C33" s="470" t="str">
        <f>IF(Vam_Eval!L51&gt;0,Vam_Eval!L51,"")</f>
        <v xml:space="preserve"> </v>
      </c>
      <c r="D33" s="468">
        <v>29</v>
      </c>
      <c r="F33" s="168"/>
      <c r="G33" s="168"/>
    </row>
    <row r="34" spans="1:7">
      <c r="A34" s="467" t="s">
        <v>446</v>
      </c>
      <c r="B34" s="469">
        <v>22.5</v>
      </c>
      <c r="C34" s="470" t="str">
        <f>IF(Vam_Eval!L55&gt;0,Vam_Eval!L55,"")</f>
        <v xml:space="preserve"> </v>
      </c>
      <c r="D34" s="468">
        <v>30</v>
      </c>
      <c r="F34" s="168"/>
      <c r="G34" s="168"/>
    </row>
    <row r="35" spans="1:7">
      <c r="A35" s="467" t="s">
        <v>447</v>
      </c>
      <c r="B35" s="469">
        <v>23</v>
      </c>
      <c r="C35" s="470" t="str">
        <f>IF(Vam_Eval!L59&gt;0,Vam_Eval!L59,"")</f>
        <v xml:space="preserve"> </v>
      </c>
      <c r="D35" s="468">
        <v>31</v>
      </c>
      <c r="F35" s="168"/>
      <c r="G35" s="168"/>
    </row>
    <row r="36" spans="1:7">
      <c r="A36" s="467" t="s">
        <v>448</v>
      </c>
      <c r="B36" s="469">
        <v>23.5</v>
      </c>
      <c r="C36" s="470" t="str">
        <f>IF(Vam_Eval!L63&gt;0,Vam_Eval!L63,"")</f>
        <v xml:space="preserve"> </v>
      </c>
      <c r="D36" s="468">
        <v>32</v>
      </c>
      <c r="F36" s="168"/>
      <c r="G36" s="168"/>
    </row>
    <row r="37" spans="1:7">
      <c r="A37" s="467" t="s">
        <v>449</v>
      </c>
      <c r="B37" s="469">
        <v>24</v>
      </c>
      <c r="C37" s="470" t="str">
        <f>IF(Vam_Eval!L67&gt;0,Vam_Eval!L67,"")</f>
        <v xml:space="preserve"> </v>
      </c>
      <c r="D37" s="468">
        <v>33</v>
      </c>
      <c r="F37" s="168"/>
      <c r="G37" s="168"/>
    </row>
    <row r="38" spans="1:7">
      <c r="A38" s="467" t="s">
        <v>450</v>
      </c>
      <c r="B38" s="469">
        <v>24.5</v>
      </c>
      <c r="C38" s="470" t="str">
        <f>IF(Vam_Eval!L71&gt;0,Vam_Eval!L71,"")</f>
        <v xml:space="preserve"> </v>
      </c>
      <c r="D38" s="468">
        <v>34</v>
      </c>
      <c r="F38" s="168"/>
      <c r="G38" s="168"/>
    </row>
    <row r="39" spans="1:7">
      <c r="A39" s="467" t="s">
        <v>451</v>
      </c>
      <c r="B39" s="469">
        <v>25</v>
      </c>
      <c r="C39" s="470" t="str">
        <f>IF(Vam_Eval!L75&gt;0,Vam_Eval!L75,"")</f>
        <v xml:space="preserve"> </v>
      </c>
      <c r="D39" s="468">
        <v>35</v>
      </c>
      <c r="F39" s="168"/>
      <c r="G39" s="168"/>
    </row>
    <row r="40" spans="1:7" ht="16.5" thickBot="1">
      <c r="A40" s="467" t="s">
        <v>452</v>
      </c>
      <c r="B40" s="471">
        <v>25.5</v>
      </c>
      <c r="C40" s="470" t="str">
        <f>IF(Vam_Eval!L79&gt;0,Vam_Eval!L79,"")</f>
        <v xml:space="preserve"> </v>
      </c>
      <c r="D40" s="468">
        <v>36</v>
      </c>
      <c r="F40" s="168"/>
      <c r="G40" s="168"/>
    </row>
    <row r="41" spans="1:7">
      <c r="A41" s="91" t="s">
        <v>453</v>
      </c>
      <c r="B41" s="70"/>
      <c r="C41" s="70"/>
      <c r="D41" s="70"/>
      <c r="F41" s="165"/>
      <c r="G41" s="165"/>
    </row>
  </sheetData>
  <sheetProtection password="8026" sheet="1" objects="1" scenarios="1"/>
  <mergeCells count="8">
    <mergeCell ref="A4:A5"/>
    <mergeCell ref="B4:B5"/>
    <mergeCell ref="B1:C1"/>
    <mergeCell ref="F1:G1"/>
    <mergeCell ref="E4:E5"/>
    <mergeCell ref="E9:E10"/>
    <mergeCell ref="F2:G2"/>
    <mergeCell ref="F3:G3"/>
  </mergeCells>
  <phoneticPr fontId="0" type="noConversion"/>
  <pageMargins left="0.78740157499999996" right="0.78740157499999996" top="0.984251969" bottom="0.984251969" header="0.4921259845" footer="0.4921259845"/>
  <pageSetup paperSize="9" orientation="portrait" horizontalDpi="4294967294" verticalDpi="0" r:id="rId1"/>
  <headerFooter alignWithMargins="0"/>
  <drawing r:id="rId2"/>
</worksheet>
</file>

<file path=xl/worksheets/sheet5.xml><?xml version="1.0" encoding="utf-8"?>
<worksheet xmlns="http://schemas.openxmlformats.org/spreadsheetml/2006/main" xmlns:r="http://schemas.openxmlformats.org/officeDocument/2006/relationships">
  <sheetPr codeName="Feuil6"/>
  <dimension ref="A4:K84"/>
  <sheetViews>
    <sheetView topLeftCell="A58" workbookViewId="0">
      <selection activeCell="D87" sqref="D87"/>
    </sheetView>
  </sheetViews>
  <sheetFormatPr baseColWidth="10" defaultRowHeight="15.75"/>
  <sheetData>
    <row r="4" spans="1:1">
      <c r="A4" t="s">
        <v>2</v>
      </c>
    </row>
    <row r="67" spans="1:11">
      <c r="A67" s="615" t="s">
        <v>512</v>
      </c>
      <c r="B67" s="615"/>
      <c r="C67" s="615"/>
      <c r="D67" s="615"/>
      <c r="E67" s="615"/>
      <c r="F67" s="615"/>
      <c r="G67" s="615"/>
      <c r="H67" s="615"/>
      <c r="I67" s="615"/>
      <c r="J67" s="615"/>
      <c r="K67" s="615"/>
    </row>
    <row r="68" spans="1:11">
      <c r="B68" s="131" t="s">
        <v>513</v>
      </c>
      <c r="C68" s="244"/>
      <c r="D68" s="245"/>
      <c r="E68" s="245"/>
    </row>
    <row r="69" spans="1:11">
      <c r="B69" s="246"/>
      <c r="C69" s="247"/>
      <c r="D69" s="245"/>
      <c r="E69" s="248"/>
    </row>
    <row r="70" spans="1:11">
      <c r="B70" s="616" t="s">
        <v>514</v>
      </c>
      <c r="C70" s="616"/>
      <c r="D70" s="396">
        <f>Programme!$G$11</f>
        <v>187</v>
      </c>
      <c r="E70" s="246" t="s">
        <v>515</v>
      </c>
    </row>
    <row r="71" spans="1:11">
      <c r="B71" s="246"/>
      <c r="C71" s="247"/>
      <c r="D71" s="247"/>
      <c r="E71" s="245"/>
    </row>
    <row r="72" spans="1:11">
      <c r="C72" s="246"/>
      <c r="D72" s="249"/>
      <c r="E72" s="250"/>
      <c r="F72" s="246"/>
      <c r="G72" s="246"/>
      <c r="I72" s="246"/>
      <c r="J72" s="246"/>
    </row>
    <row r="73" spans="1:11" ht="44.25" customHeight="1">
      <c r="B73" s="617" t="s">
        <v>522</v>
      </c>
      <c r="C73" s="618"/>
      <c r="D73" s="619"/>
      <c r="E73" s="246"/>
      <c r="F73" s="620" t="s">
        <v>1248</v>
      </c>
      <c r="G73" s="621"/>
      <c r="H73" s="622"/>
      <c r="I73" s="246"/>
      <c r="J73" s="246"/>
    </row>
    <row r="74" spans="1:11">
      <c r="C74" s="246"/>
      <c r="D74" s="246"/>
      <c r="E74" s="246"/>
      <c r="F74" s="246"/>
      <c r="G74" s="246"/>
      <c r="J74" s="246"/>
    </row>
    <row r="75" spans="1:11">
      <c r="B75" s="251" t="s">
        <v>516</v>
      </c>
      <c r="C75" s="558">
        <v>15.5</v>
      </c>
      <c r="D75" s="246" t="s">
        <v>11</v>
      </c>
      <c r="F75" s="251" t="s">
        <v>516</v>
      </c>
      <c r="G75" s="391">
        <f>Programme!B59</f>
        <v>15.75</v>
      </c>
      <c r="H75" s="246" t="s">
        <v>11</v>
      </c>
    </row>
    <row r="76" spans="1:11">
      <c r="B76" s="251" t="s">
        <v>517</v>
      </c>
      <c r="C76" s="559">
        <v>175</v>
      </c>
      <c r="D76" s="246" t="s">
        <v>20</v>
      </c>
      <c r="F76" s="251" t="s">
        <v>517</v>
      </c>
      <c r="G76" s="392">
        <f>Programme!F59</f>
        <v>175.14559813084111</v>
      </c>
      <c r="H76" s="246" t="s">
        <v>20</v>
      </c>
    </row>
    <row r="78" spans="1:11">
      <c r="B78" s="252"/>
    </row>
    <row r="79" spans="1:11">
      <c r="A79" s="246"/>
      <c r="B79" s="249" t="s">
        <v>518</v>
      </c>
      <c r="C79" s="394">
        <f>(2.917*C75)+(0.000617*POWER(C75,3))</f>
        <v>47.511130874999999</v>
      </c>
      <c r="D79" s="253" t="s">
        <v>519</v>
      </c>
      <c r="F79" s="249" t="s">
        <v>518</v>
      </c>
      <c r="G79" s="394">
        <f>(2.917*G75)+(0.000617*POWER(G75,3))</f>
        <v>48.353359359374998</v>
      </c>
      <c r="H79" s="253" t="s">
        <v>519</v>
      </c>
    </row>
    <row r="80" spans="1:11">
      <c r="A80" s="246"/>
      <c r="B80" s="246"/>
      <c r="C80" s="254"/>
      <c r="D80" s="254"/>
      <c r="F80" s="246"/>
      <c r="G80" s="246"/>
      <c r="H80" s="254"/>
      <c r="I80" s="254"/>
      <c r="J80" s="246"/>
    </row>
    <row r="81" spans="1:10">
      <c r="C81" s="255"/>
      <c r="D81" s="255" t="s">
        <v>520</v>
      </c>
      <c r="E81" s="393">
        <f>Programme!F46</f>
        <v>61.25</v>
      </c>
      <c r="F81" s="256" t="s">
        <v>519</v>
      </c>
    </row>
    <row r="82" spans="1:10">
      <c r="A82" s="246"/>
      <c r="E82" s="385" t="s">
        <v>1103</v>
      </c>
      <c r="F82" s="246"/>
      <c r="J82" s="246"/>
    </row>
    <row r="83" spans="1:10">
      <c r="A83" s="616" t="s">
        <v>521</v>
      </c>
      <c r="B83" s="616"/>
      <c r="C83" s="395">
        <f>C79/E81*100</f>
        <v>77.569193265306126</v>
      </c>
      <c r="D83" s="254" t="s">
        <v>21</v>
      </c>
      <c r="F83" s="616" t="s">
        <v>521</v>
      </c>
      <c r="G83" s="616"/>
      <c r="H83" s="395">
        <f>G79/E81*100</f>
        <v>78.944260178571426</v>
      </c>
      <c r="I83" s="254" t="s">
        <v>21</v>
      </c>
      <c r="J83" s="246"/>
    </row>
    <row r="84" spans="1:10">
      <c r="B84" s="252"/>
    </row>
  </sheetData>
  <mergeCells count="6">
    <mergeCell ref="A67:K67"/>
    <mergeCell ref="B70:C70"/>
    <mergeCell ref="A83:B83"/>
    <mergeCell ref="F83:G83"/>
    <mergeCell ref="B73:D73"/>
    <mergeCell ref="F73:H73"/>
  </mergeCells>
  <phoneticPr fontId="0" type="noConversion"/>
  <printOptions horizontalCentered="1" verticalCentered="1"/>
  <pageMargins left="0.39370078740157483" right="0.39370078740157483" top="0.59055118110236227" bottom="0.59055118110236227" header="0.51181102362204722" footer="0.51181102362204722"/>
  <pageSetup paperSize="9" orientation="landscape" horizontalDpi="4294967293" verticalDpi="0" r:id="rId1"/>
  <headerFooter alignWithMargins="0"/>
  <drawing r:id="rId2"/>
</worksheet>
</file>

<file path=xl/worksheets/sheet6.xml><?xml version="1.0" encoding="utf-8"?>
<worksheet xmlns="http://schemas.openxmlformats.org/spreadsheetml/2006/main" xmlns:r="http://schemas.openxmlformats.org/officeDocument/2006/relationships">
  <sheetPr codeName="Feuil7"/>
  <dimension ref="A1:H34"/>
  <sheetViews>
    <sheetView topLeftCell="A19" workbookViewId="0">
      <selection activeCell="H33" sqref="H33"/>
    </sheetView>
  </sheetViews>
  <sheetFormatPr baseColWidth="10" defaultRowHeight="15.75"/>
  <cols>
    <col min="1" max="1" width="11.25" customWidth="1"/>
    <col min="2" max="8" width="8" customWidth="1"/>
  </cols>
  <sheetData>
    <row r="1" spans="1:8">
      <c r="A1" s="119" t="s">
        <v>134</v>
      </c>
      <c r="B1" s="120"/>
      <c r="C1" s="120"/>
      <c r="D1" s="120"/>
      <c r="E1" s="120"/>
      <c r="F1" s="120"/>
      <c r="G1" s="120"/>
      <c r="H1" s="120"/>
    </row>
    <row r="2" spans="1:8">
      <c r="A2" s="121"/>
      <c r="B2" s="121"/>
      <c r="C2" s="121"/>
      <c r="D2" s="121"/>
      <c r="E2" s="121"/>
      <c r="F2" s="121"/>
      <c r="G2" s="121"/>
      <c r="H2" s="121"/>
    </row>
    <row r="3" spans="1:8">
      <c r="A3" s="122" t="s">
        <v>141</v>
      </c>
      <c r="B3" s="123" t="s">
        <v>10</v>
      </c>
      <c r="C3" s="142">
        <f>Programme!F25</f>
        <v>17.5</v>
      </c>
      <c r="D3" s="101" t="s">
        <v>11</v>
      </c>
    </row>
    <row r="4" spans="1:8">
      <c r="B4" s="629" t="s">
        <v>418</v>
      </c>
      <c r="C4" s="629"/>
      <c r="D4" s="629"/>
    </row>
    <row r="5" spans="1:8" ht="12.75" customHeight="1">
      <c r="B5" s="124"/>
      <c r="C5" s="125"/>
      <c r="D5" s="126"/>
    </row>
    <row r="6" spans="1:8" ht="10.5" customHeight="1" thickBot="1">
      <c r="B6" s="623" t="s">
        <v>128</v>
      </c>
      <c r="C6" s="624"/>
      <c r="D6" s="624"/>
      <c r="E6" s="624"/>
      <c r="F6" s="624"/>
      <c r="G6" s="624"/>
      <c r="H6" s="625"/>
    </row>
    <row r="7" spans="1:8">
      <c r="A7" s="134" t="s">
        <v>140</v>
      </c>
      <c r="B7" s="626"/>
      <c r="C7" s="627"/>
      <c r="D7" s="627"/>
      <c r="E7" s="627"/>
      <c r="F7" s="627"/>
      <c r="G7" s="627"/>
      <c r="H7" s="628"/>
    </row>
    <row r="8" spans="1:8" ht="16.5" thickBot="1">
      <c r="A8" s="135" t="s">
        <v>129</v>
      </c>
      <c r="B8" s="133" t="s">
        <v>135</v>
      </c>
      <c r="C8" s="133" t="s">
        <v>136</v>
      </c>
      <c r="D8" s="133" t="s">
        <v>137</v>
      </c>
      <c r="E8" s="133" t="s">
        <v>138</v>
      </c>
      <c r="F8" s="133" t="s">
        <v>64</v>
      </c>
      <c r="G8" s="133" t="s">
        <v>69</v>
      </c>
      <c r="H8" s="133" t="s">
        <v>139</v>
      </c>
    </row>
    <row r="9" spans="1:8">
      <c r="A9" s="136">
        <v>65</v>
      </c>
      <c r="B9" s="127">
        <f>((100*0.04167)/(C$3*10*A9))</f>
        <v>3.6632967032967033E-4</v>
      </c>
      <c r="C9" s="127">
        <f>((200*0.04167)/(C$3*10*A9))</f>
        <v>7.3265934065934067E-4</v>
      </c>
      <c r="D9" s="127">
        <f>((300*0.04167)/(C$3*10*A9))</f>
        <v>1.098989010989011E-3</v>
      </c>
      <c r="E9" s="127">
        <f>((400*0.04167)/(C$3*10*A9))</f>
        <v>1.4653186813186813E-3</v>
      </c>
      <c r="F9" s="127">
        <f>((800*0.04167)/(C$3*10*A9))</f>
        <v>2.9306373626373627E-3</v>
      </c>
      <c r="G9" s="127">
        <f>((1200*0.04167)/(C$3*10*A9))</f>
        <v>4.395956043956044E-3</v>
      </c>
      <c r="H9" s="127">
        <f>((1600*0.04167)/(C$3*10*A9))</f>
        <v>5.8612747252747253E-3</v>
      </c>
    </row>
    <row r="10" spans="1:8">
      <c r="A10" s="136">
        <v>66</v>
      </c>
      <c r="B10" s="127">
        <f t="shared" ref="B10:B29" si="0">((100*0.04167)/(C$3*10*A10))</f>
        <v>3.6077922077922079E-4</v>
      </c>
      <c r="C10" s="127">
        <f t="shared" ref="C10:C29" si="1">((200*0.04167)/(C$3*10*A10))</f>
        <v>7.2155844155844158E-4</v>
      </c>
      <c r="D10" s="127">
        <f t="shared" ref="D10:D29" si="2">((300*0.04167)/(C$3*10*A10))</f>
        <v>1.0823376623376622E-3</v>
      </c>
      <c r="E10" s="127">
        <f t="shared" ref="E10:E29" si="3">((400*0.04167)/(C$3*10*A10))</f>
        <v>1.4431168831168832E-3</v>
      </c>
      <c r="F10" s="127">
        <f t="shared" ref="F10:F29" si="4">((800*0.04167)/(C$3*10*A10))</f>
        <v>2.8862337662337663E-3</v>
      </c>
      <c r="G10" s="127">
        <f t="shared" ref="G10:G29" si="5">((1200*0.04167)/(C$3*10*A10))</f>
        <v>4.3293506493506488E-3</v>
      </c>
      <c r="H10" s="127">
        <f t="shared" ref="H10:H29" si="6">((1600*0.04167)/(C$3*10*A10))</f>
        <v>5.7724675324675326E-3</v>
      </c>
    </row>
    <row r="11" spans="1:8">
      <c r="A11" s="136">
        <v>67</v>
      </c>
      <c r="B11" s="127">
        <f t="shared" si="0"/>
        <v>3.5539445628997865E-4</v>
      </c>
      <c r="C11" s="127">
        <f t="shared" si="1"/>
        <v>7.1078891257995731E-4</v>
      </c>
      <c r="D11" s="127">
        <f t="shared" si="2"/>
        <v>1.066183368869936E-3</v>
      </c>
      <c r="E11" s="127">
        <f t="shared" si="3"/>
        <v>1.4215778251599146E-3</v>
      </c>
      <c r="F11" s="127">
        <f t="shared" si="4"/>
        <v>2.8431556503198292E-3</v>
      </c>
      <c r="G11" s="127">
        <f t="shared" si="5"/>
        <v>4.2647334754797438E-3</v>
      </c>
      <c r="H11" s="127">
        <f t="shared" si="6"/>
        <v>5.6863113006396585E-3</v>
      </c>
    </row>
    <row r="12" spans="1:8">
      <c r="A12" s="136">
        <v>68</v>
      </c>
      <c r="B12" s="127">
        <f t="shared" si="0"/>
        <v>3.5016806722689076E-4</v>
      </c>
      <c r="C12" s="127">
        <f t="shared" si="1"/>
        <v>7.0033613445378152E-4</v>
      </c>
      <c r="D12" s="127">
        <f t="shared" si="2"/>
        <v>1.0505042016806722E-3</v>
      </c>
      <c r="E12" s="127">
        <f t="shared" si="3"/>
        <v>1.400672268907563E-3</v>
      </c>
      <c r="F12" s="127">
        <f t="shared" si="4"/>
        <v>2.8013445378151261E-3</v>
      </c>
      <c r="G12" s="127">
        <f t="shared" si="5"/>
        <v>4.2020168067226889E-3</v>
      </c>
      <c r="H12" s="127">
        <f t="shared" si="6"/>
        <v>5.6026890756302522E-3</v>
      </c>
    </row>
    <row r="13" spans="1:8">
      <c r="A13" s="136">
        <v>69</v>
      </c>
      <c r="B13" s="127">
        <f t="shared" si="0"/>
        <v>3.4509316770186334E-4</v>
      </c>
      <c r="C13" s="127">
        <f t="shared" si="1"/>
        <v>6.9018633540372668E-4</v>
      </c>
      <c r="D13" s="127">
        <f t="shared" si="2"/>
        <v>1.03527950310559E-3</v>
      </c>
      <c r="E13" s="127">
        <f t="shared" si="3"/>
        <v>1.3803726708074534E-3</v>
      </c>
      <c r="F13" s="127">
        <f t="shared" si="4"/>
        <v>2.7607453416149067E-3</v>
      </c>
      <c r="G13" s="127">
        <f t="shared" si="5"/>
        <v>4.1411180124223601E-3</v>
      </c>
      <c r="H13" s="127">
        <f t="shared" si="6"/>
        <v>5.5214906832298134E-3</v>
      </c>
    </row>
    <row r="14" spans="1:8">
      <c r="A14" s="136">
        <v>70</v>
      </c>
      <c r="B14" s="127">
        <f t="shared" si="0"/>
        <v>3.4016326530612244E-4</v>
      </c>
      <c r="C14" s="127">
        <f t="shared" si="1"/>
        <v>6.8032653061224488E-4</v>
      </c>
      <c r="D14" s="127">
        <f t="shared" si="2"/>
        <v>1.0204897959183673E-3</v>
      </c>
      <c r="E14" s="127">
        <f t="shared" si="3"/>
        <v>1.3606530612244898E-3</v>
      </c>
      <c r="F14" s="127">
        <f t="shared" si="4"/>
        <v>2.7213061224489795E-3</v>
      </c>
      <c r="G14" s="127">
        <f t="shared" si="5"/>
        <v>4.0819591836734693E-3</v>
      </c>
      <c r="H14" s="127">
        <f t="shared" si="6"/>
        <v>5.442612244897959E-3</v>
      </c>
    </row>
    <row r="15" spans="1:8">
      <c r="A15" s="136">
        <v>71</v>
      </c>
      <c r="B15" s="127">
        <f t="shared" si="0"/>
        <v>3.3537223340040243E-4</v>
      </c>
      <c r="C15" s="127">
        <f t="shared" si="1"/>
        <v>6.7074446680080485E-4</v>
      </c>
      <c r="D15" s="127">
        <f t="shared" si="2"/>
        <v>1.0061167002012072E-3</v>
      </c>
      <c r="E15" s="127">
        <f t="shared" si="3"/>
        <v>1.3414889336016097E-3</v>
      </c>
      <c r="F15" s="127">
        <f t="shared" si="4"/>
        <v>2.6829778672032194E-3</v>
      </c>
      <c r="G15" s="127">
        <f t="shared" si="5"/>
        <v>4.0244668008048287E-3</v>
      </c>
      <c r="H15" s="127">
        <f t="shared" si="6"/>
        <v>5.3659557344064388E-3</v>
      </c>
    </row>
    <row r="16" spans="1:8">
      <c r="A16" s="136">
        <v>72</v>
      </c>
      <c r="B16" s="127">
        <f t="shared" si="0"/>
        <v>3.3071428571428569E-4</v>
      </c>
      <c r="C16" s="127">
        <f t="shared" si="1"/>
        <v>6.6142857142857138E-4</v>
      </c>
      <c r="D16" s="127">
        <f t="shared" si="2"/>
        <v>9.9214285714285702E-4</v>
      </c>
      <c r="E16" s="127">
        <f t="shared" si="3"/>
        <v>1.3228571428571428E-3</v>
      </c>
      <c r="F16" s="127">
        <f t="shared" si="4"/>
        <v>2.6457142857142855E-3</v>
      </c>
      <c r="G16" s="127">
        <f t="shared" si="5"/>
        <v>3.9685714285714281E-3</v>
      </c>
      <c r="H16" s="127">
        <f t="shared" si="6"/>
        <v>5.2914285714285711E-3</v>
      </c>
    </row>
    <row r="17" spans="1:8">
      <c r="A17" s="136">
        <v>73</v>
      </c>
      <c r="B17" s="127">
        <f t="shared" si="0"/>
        <v>3.261839530332681E-4</v>
      </c>
      <c r="C17" s="127">
        <f t="shared" si="1"/>
        <v>6.5236790606653619E-4</v>
      </c>
      <c r="D17" s="127">
        <f t="shared" si="2"/>
        <v>9.7855185909980435E-4</v>
      </c>
      <c r="E17" s="127">
        <f t="shared" si="3"/>
        <v>1.3047358121330724E-3</v>
      </c>
      <c r="F17" s="127">
        <f t="shared" si="4"/>
        <v>2.6094716242661448E-3</v>
      </c>
      <c r="G17" s="127">
        <f t="shared" si="5"/>
        <v>3.9142074363992174E-3</v>
      </c>
      <c r="H17" s="127">
        <f t="shared" si="6"/>
        <v>5.2189432485322896E-3</v>
      </c>
    </row>
    <row r="18" spans="1:8">
      <c r="A18" s="136">
        <v>74</v>
      </c>
      <c r="B18" s="127">
        <f t="shared" si="0"/>
        <v>3.2177606177606177E-4</v>
      </c>
      <c r="C18" s="127">
        <f t="shared" si="1"/>
        <v>6.4355212355212354E-4</v>
      </c>
      <c r="D18" s="127">
        <f t="shared" si="2"/>
        <v>9.653281853281853E-4</v>
      </c>
      <c r="E18" s="127">
        <f t="shared" si="3"/>
        <v>1.2871042471042471E-3</v>
      </c>
      <c r="F18" s="127">
        <f t="shared" si="4"/>
        <v>2.5742084942084941E-3</v>
      </c>
      <c r="G18" s="127">
        <f t="shared" si="5"/>
        <v>3.8613127413127412E-3</v>
      </c>
      <c r="H18" s="127">
        <f t="shared" si="6"/>
        <v>5.1484169884169883E-3</v>
      </c>
    </row>
    <row r="19" spans="1:8">
      <c r="A19" s="136">
        <v>75</v>
      </c>
      <c r="B19" s="127">
        <f t="shared" si="0"/>
        <v>3.1748571428571429E-4</v>
      </c>
      <c r="C19" s="127">
        <f t="shared" si="1"/>
        <v>6.3497142857142858E-4</v>
      </c>
      <c r="D19" s="127">
        <f t="shared" si="2"/>
        <v>9.5245714285714287E-4</v>
      </c>
      <c r="E19" s="127">
        <f t="shared" si="3"/>
        <v>1.2699428571428572E-3</v>
      </c>
      <c r="F19" s="127">
        <f t="shared" si="4"/>
        <v>2.5398857142857143E-3</v>
      </c>
      <c r="G19" s="127">
        <f t="shared" si="5"/>
        <v>3.8098285714285715E-3</v>
      </c>
      <c r="H19" s="127">
        <f t="shared" si="6"/>
        <v>5.0797714285714286E-3</v>
      </c>
    </row>
    <row r="20" spans="1:8">
      <c r="A20" s="136">
        <v>76</v>
      </c>
      <c r="B20" s="127">
        <f t="shared" si="0"/>
        <v>3.1330827067669172E-4</v>
      </c>
      <c r="C20" s="127">
        <f t="shared" si="1"/>
        <v>6.2661654135338343E-4</v>
      </c>
      <c r="D20" s="127">
        <f t="shared" si="2"/>
        <v>9.3992481203007509E-4</v>
      </c>
      <c r="E20" s="127">
        <f t="shared" si="3"/>
        <v>1.2532330827067669E-3</v>
      </c>
      <c r="F20" s="127">
        <f t="shared" si="4"/>
        <v>2.5064661654135337E-3</v>
      </c>
      <c r="G20" s="127">
        <f t="shared" si="5"/>
        <v>3.7596992481203004E-3</v>
      </c>
      <c r="H20" s="127">
        <f t="shared" si="6"/>
        <v>5.0129323308270675E-3</v>
      </c>
    </row>
    <row r="21" spans="1:8">
      <c r="A21" s="136">
        <v>77</v>
      </c>
      <c r="B21" s="127">
        <f t="shared" si="0"/>
        <v>3.0923933209647494E-4</v>
      </c>
      <c r="C21" s="127">
        <f t="shared" si="1"/>
        <v>6.1847866419294988E-4</v>
      </c>
      <c r="D21" s="127">
        <f t="shared" si="2"/>
        <v>9.2771799628942487E-4</v>
      </c>
      <c r="E21" s="127">
        <f t="shared" si="3"/>
        <v>1.2369573283858998E-3</v>
      </c>
      <c r="F21" s="127">
        <f t="shared" si="4"/>
        <v>2.4739146567717995E-3</v>
      </c>
      <c r="G21" s="127">
        <f t="shared" si="5"/>
        <v>3.7108719851576995E-3</v>
      </c>
      <c r="H21" s="127">
        <f t="shared" si="6"/>
        <v>4.947829313543599E-3</v>
      </c>
    </row>
    <row r="22" spans="1:8">
      <c r="A22" s="136">
        <v>78</v>
      </c>
      <c r="B22" s="127">
        <f t="shared" si="0"/>
        <v>3.0527472527472528E-4</v>
      </c>
      <c r="C22" s="127">
        <f t="shared" si="1"/>
        <v>6.1054945054945056E-4</v>
      </c>
      <c r="D22" s="127">
        <f t="shared" si="2"/>
        <v>9.1582417582417584E-4</v>
      </c>
      <c r="E22" s="127">
        <f t="shared" si="3"/>
        <v>1.2210989010989011E-3</v>
      </c>
      <c r="F22" s="127">
        <f t="shared" si="4"/>
        <v>2.4421978021978022E-3</v>
      </c>
      <c r="G22" s="127">
        <f t="shared" si="5"/>
        <v>3.6632967032967033E-3</v>
      </c>
      <c r="H22" s="127">
        <f t="shared" si="6"/>
        <v>4.8843956043956045E-3</v>
      </c>
    </row>
    <row r="23" spans="1:8">
      <c r="A23" s="136">
        <v>79</v>
      </c>
      <c r="B23" s="127">
        <f t="shared" si="0"/>
        <v>3.0141048824593126E-4</v>
      </c>
      <c r="C23" s="127">
        <f t="shared" si="1"/>
        <v>6.0282097649186253E-4</v>
      </c>
      <c r="D23" s="127">
        <f t="shared" si="2"/>
        <v>9.0423146473779384E-4</v>
      </c>
      <c r="E23" s="127">
        <f t="shared" si="3"/>
        <v>1.2056419529837251E-3</v>
      </c>
      <c r="F23" s="127">
        <f t="shared" si="4"/>
        <v>2.4112839059674501E-3</v>
      </c>
      <c r="G23" s="127">
        <f t="shared" si="5"/>
        <v>3.6169258589511754E-3</v>
      </c>
      <c r="H23" s="127">
        <f t="shared" si="6"/>
        <v>4.8225678119349002E-3</v>
      </c>
    </row>
    <row r="24" spans="1:8">
      <c r="A24" s="136">
        <v>80</v>
      </c>
      <c r="B24" s="127">
        <f t="shared" si="0"/>
        <v>2.9764285714285711E-4</v>
      </c>
      <c r="C24" s="127">
        <f t="shared" si="1"/>
        <v>5.9528571428571421E-4</v>
      </c>
      <c r="D24" s="127">
        <f t="shared" si="2"/>
        <v>8.9292857142857143E-4</v>
      </c>
      <c r="E24" s="127">
        <f t="shared" si="3"/>
        <v>1.1905714285714284E-3</v>
      </c>
      <c r="F24" s="127">
        <f t="shared" si="4"/>
        <v>2.3811428571428568E-3</v>
      </c>
      <c r="G24" s="127">
        <f t="shared" si="5"/>
        <v>3.5717142857142857E-3</v>
      </c>
      <c r="H24" s="127">
        <f t="shared" si="6"/>
        <v>4.7622857142857137E-3</v>
      </c>
    </row>
    <row r="25" spans="1:8">
      <c r="A25" s="136">
        <v>81</v>
      </c>
      <c r="B25" s="127">
        <f t="shared" si="0"/>
        <v>2.9396825396825395E-4</v>
      </c>
      <c r="C25" s="127">
        <f t="shared" si="1"/>
        <v>5.8793650793650791E-4</v>
      </c>
      <c r="D25" s="127">
        <f t="shared" si="2"/>
        <v>8.8190476190476192E-4</v>
      </c>
      <c r="E25" s="127">
        <f t="shared" si="3"/>
        <v>1.1758730158730158E-3</v>
      </c>
      <c r="F25" s="127">
        <f t="shared" si="4"/>
        <v>2.3517460317460316E-3</v>
      </c>
      <c r="G25" s="127">
        <f t="shared" si="5"/>
        <v>3.5276190476190477E-3</v>
      </c>
      <c r="H25" s="127">
        <f t="shared" si="6"/>
        <v>4.7034920634920633E-3</v>
      </c>
    </row>
    <row r="26" spans="1:8">
      <c r="A26" s="136">
        <v>82</v>
      </c>
      <c r="B26" s="127">
        <f t="shared" si="0"/>
        <v>2.90383275261324E-4</v>
      </c>
      <c r="C26" s="127">
        <f t="shared" si="1"/>
        <v>5.8076655052264801E-4</v>
      </c>
      <c r="D26" s="127">
        <f t="shared" si="2"/>
        <v>8.7114982578397212E-4</v>
      </c>
      <c r="E26" s="127">
        <f t="shared" si="3"/>
        <v>1.161533101045296E-3</v>
      </c>
      <c r="F26" s="127">
        <f t="shared" si="4"/>
        <v>2.323066202090592E-3</v>
      </c>
      <c r="G26" s="127">
        <f t="shared" si="5"/>
        <v>3.4845993031358885E-3</v>
      </c>
      <c r="H26" s="127">
        <f t="shared" si="6"/>
        <v>4.646132404181184E-3</v>
      </c>
    </row>
    <row r="27" spans="1:8">
      <c r="A27" s="136">
        <v>83</v>
      </c>
      <c r="B27" s="127">
        <f t="shared" si="0"/>
        <v>2.8688468158347678E-4</v>
      </c>
      <c r="C27" s="127">
        <f t="shared" si="1"/>
        <v>5.7376936316695356E-4</v>
      </c>
      <c r="D27" s="127">
        <f t="shared" si="2"/>
        <v>8.6065404475043023E-4</v>
      </c>
      <c r="E27" s="127">
        <f t="shared" si="3"/>
        <v>1.1475387263339071E-3</v>
      </c>
      <c r="F27" s="127">
        <f t="shared" si="4"/>
        <v>2.2950774526678142E-3</v>
      </c>
      <c r="G27" s="127">
        <f t="shared" si="5"/>
        <v>3.4426161790017209E-3</v>
      </c>
      <c r="H27" s="127">
        <f t="shared" si="6"/>
        <v>4.5901549053356284E-3</v>
      </c>
    </row>
    <row r="28" spans="1:8">
      <c r="A28" s="136">
        <v>84</v>
      </c>
      <c r="B28" s="127">
        <f t="shared" si="0"/>
        <v>2.8346938775510201E-4</v>
      </c>
      <c r="C28" s="127">
        <f t="shared" si="1"/>
        <v>5.6693877551020403E-4</v>
      </c>
      <c r="D28" s="127">
        <f t="shared" si="2"/>
        <v>8.5040816326530609E-4</v>
      </c>
      <c r="E28" s="127">
        <f t="shared" si="3"/>
        <v>1.1338775510204081E-3</v>
      </c>
      <c r="F28" s="127">
        <f t="shared" si="4"/>
        <v>2.2677551020408161E-3</v>
      </c>
      <c r="G28" s="127">
        <f t="shared" si="5"/>
        <v>3.4016326530612244E-3</v>
      </c>
      <c r="H28" s="127">
        <f t="shared" si="6"/>
        <v>4.5355102040816322E-3</v>
      </c>
    </row>
    <row r="29" spans="1:8">
      <c r="A29" s="136">
        <v>85</v>
      </c>
      <c r="B29" s="127">
        <f t="shared" si="0"/>
        <v>2.8013445378151261E-4</v>
      </c>
      <c r="C29" s="127">
        <f t="shared" si="1"/>
        <v>5.6026890756302522E-4</v>
      </c>
      <c r="D29" s="127">
        <f t="shared" si="2"/>
        <v>8.4040336134453783E-4</v>
      </c>
      <c r="E29" s="127">
        <f t="shared" si="3"/>
        <v>1.1205378151260504E-3</v>
      </c>
      <c r="F29" s="127">
        <f t="shared" si="4"/>
        <v>2.2410756302521009E-3</v>
      </c>
      <c r="G29" s="127">
        <f t="shared" si="5"/>
        <v>3.3616134453781513E-3</v>
      </c>
      <c r="H29" s="127">
        <f t="shared" si="6"/>
        <v>4.4821512605042017E-3</v>
      </c>
    </row>
    <row r="31" spans="1:8">
      <c r="A31" s="128" t="s">
        <v>130</v>
      </c>
      <c r="B31" s="128"/>
    </row>
    <row r="33" spans="1:6">
      <c r="A33" s="129" t="s">
        <v>131</v>
      </c>
      <c r="B33" s="130">
        <v>90</v>
      </c>
    </row>
    <row r="34" spans="1:6" ht="16.5" thickBot="1">
      <c r="A34" s="129" t="s">
        <v>132</v>
      </c>
      <c r="B34" s="130">
        <v>400</v>
      </c>
      <c r="C34" s="62" t="s">
        <v>54</v>
      </c>
      <c r="E34" s="131" t="s">
        <v>133</v>
      </c>
      <c r="F34" s="132">
        <f>(B34*0.04167)/(C3*10*B33)</f>
        <v>1.0582857142857143E-3</v>
      </c>
    </row>
  </sheetData>
  <sheetProtection password="8026" sheet="1" objects="1" scenarios="1"/>
  <mergeCells count="2">
    <mergeCell ref="B6:H7"/>
    <mergeCell ref="B4:D4"/>
  </mergeCells>
  <phoneticPr fontId="0" type="noConversion"/>
  <printOptions horizontalCentered="1" verticalCentered="1"/>
  <pageMargins left="0.78740157480314965" right="0.78740157480314965" top="0.98425196850393704" bottom="0.98425196850393704" header="0.51181102362204722" footer="0.51181102362204722"/>
  <pageSetup paperSize="9" orientation="portrait" horizontalDpi="4294967294" verticalDpi="0" r:id="rId1"/>
  <headerFooter alignWithMargins="0"/>
</worksheet>
</file>

<file path=xl/worksheets/sheet7.xml><?xml version="1.0" encoding="utf-8"?>
<worksheet xmlns="http://schemas.openxmlformats.org/spreadsheetml/2006/main" xmlns:r="http://schemas.openxmlformats.org/officeDocument/2006/relationships">
  <dimension ref="A1:U48"/>
  <sheetViews>
    <sheetView topLeftCell="A16" workbookViewId="0">
      <selection activeCell="O14" sqref="O14"/>
    </sheetView>
  </sheetViews>
  <sheetFormatPr baseColWidth="10" defaultRowHeight="15.75"/>
  <cols>
    <col min="1" max="1" width="12.875" customWidth="1"/>
    <col min="2" max="2" width="14.5" customWidth="1"/>
    <col min="3" max="3" width="14.125" customWidth="1"/>
    <col min="4" max="4" width="9" customWidth="1"/>
    <col min="5" max="5" width="11.625" customWidth="1"/>
    <col min="6" max="6" width="11.125" bestFit="1" customWidth="1"/>
    <col min="7" max="7" width="11.75" customWidth="1"/>
    <col min="8" max="8" width="1.125" customWidth="1"/>
    <col min="9" max="9" width="10.875" bestFit="1" customWidth="1"/>
    <col min="10" max="10" width="5.375" bestFit="1" customWidth="1"/>
    <col min="11" max="11" width="4.625" bestFit="1" customWidth="1"/>
    <col min="12" max="14" width="4.5" bestFit="1" customWidth="1"/>
    <col min="15" max="15" width="2.875" bestFit="1" customWidth="1"/>
    <col min="16" max="17" width="4.5" bestFit="1" customWidth="1"/>
    <col min="18" max="18" width="5.875" bestFit="1" customWidth="1"/>
    <col min="19" max="19" width="4.5" bestFit="1" customWidth="1"/>
    <col min="20" max="20" width="2.875" bestFit="1" customWidth="1"/>
    <col min="21" max="21" width="4.5" bestFit="1" customWidth="1"/>
  </cols>
  <sheetData>
    <row r="1" spans="1:21" ht="19.5" thickBot="1">
      <c r="A1" s="630" t="s">
        <v>356</v>
      </c>
      <c r="B1" s="631"/>
      <c r="C1" s="631"/>
      <c r="D1" s="631"/>
      <c r="E1" s="631"/>
      <c r="F1" s="631"/>
      <c r="G1" s="632"/>
      <c r="I1" s="648" t="s">
        <v>1215</v>
      </c>
      <c r="J1" s="649"/>
      <c r="K1" s="649"/>
      <c r="L1" s="649"/>
      <c r="M1" s="649"/>
      <c r="N1" s="649"/>
      <c r="O1" s="649"/>
      <c r="P1" s="649"/>
      <c r="Q1" s="649"/>
      <c r="R1" s="649"/>
      <c r="S1" s="649"/>
      <c r="T1" s="649"/>
      <c r="U1" s="650"/>
    </row>
    <row r="2" spans="1:21">
      <c r="A2" s="633" t="s">
        <v>1154</v>
      </c>
      <c r="B2" s="633"/>
      <c r="C2" s="633"/>
      <c r="D2" s="633"/>
      <c r="E2" s="633"/>
      <c r="F2" s="633"/>
      <c r="G2" s="633"/>
    </row>
    <row r="3" spans="1:21">
      <c r="I3" s="487" t="s">
        <v>10</v>
      </c>
      <c r="J3" s="555">
        <v>17.5</v>
      </c>
      <c r="K3" t="s">
        <v>11</v>
      </c>
    </row>
    <row r="4" spans="1:21" ht="18.75">
      <c r="B4" s="634" t="s">
        <v>10</v>
      </c>
      <c r="C4" s="635"/>
      <c r="D4" s="473">
        <v>17.5</v>
      </c>
      <c r="E4" s="474" t="s">
        <v>11</v>
      </c>
      <c r="I4" s="487" t="s">
        <v>1160</v>
      </c>
      <c r="J4" s="556">
        <v>-7.55</v>
      </c>
    </row>
    <row r="5" spans="1:21">
      <c r="D5" s="95"/>
    </row>
    <row r="6" spans="1:21">
      <c r="B6" s="636" t="s">
        <v>353</v>
      </c>
      <c r="C6" s="637"/>
      <c r="D6" s="168">
        <v>5000</v>
      </c>
      <c r="E6" s="475" t="s">
        <v>54</v>
      </c>
    </row>
    <row r="7" spans="1:21">
      <c r="B7" s="636" t="s">
        <v>354</v>
      </c>
      <c r="C7" s="637"/>
      <c r="D7" s="476">
        <v>1.2847222222222223E-2</v>
      </c>
      <c r="E7" s="475" t="s">
        <v>58</v>
      </c>
      <c r="I7" s="123" t="s">
        <v>1160</v>
      </c>
      <c r="J7" s="123">
        <v>-4</v>
      </c>
      <c r="K7" s="123">
        <v>-4.4000000000000004</v>
      </c>
      <c r="L7" s="123">
        <v>-4.8</v>
      </c>
      <c r="M7" s="123">
        <v>-5.2</v>
      </c>
      <c r="N7" s="123">
        <v>-5.6</v>
      </c>
      <c r="O7" s="123">
        <v>-6</v>
      </c>
      <c r="P7" s="123">
        <v>-6.4</v>
      </c>
      <c r="Q7" s="123">
        <v>-6.8</v>
      </c>
      <c r="R7" s="123">
        <v>-7.2</v>
      </c>
      <c r="S7" s="123">
        <v>-7.6</v>
      </c>
      <c r="T7" s="123">
        <v>-8</v>
      </c>
      <c r="U7" s="123">
        <v>-8.4</v>
      </c>
    </row>
    <row r="8" spans="1:21">
      <c r="B8" s="636" t="s">
        <v>355</v>
      </c>
      <c r="C8" s="637"/>
      <c r="D8" s="551">
        <f>((0.0416666667*D6)/D7)*0.001</f>
        <v>16.21621622918919</v>
      </c>
      <c r="E8" s="475" t="s">
        <v>11</v>
      </c>
      <c r="I8" s="487" t="s">
        <v>1216</v>
      </c>
      <c r="J8" s="483">
        <v>111</v>
      </c>
      <c r="K8" s="483">
        <v>106</v>
      </c>
      <c r="L8" s="483">
        <v>101</v>
      </c>
      <c r="M8" s="483">
        <v>96</v>
      </c>
      <c r="N8" s="483">
        <v>93</v>
      </c>
      <c r="O8" s="483">
        <v>87</v>
      </c>
      <c r="P8" s="483">
        <v>75</v>
      </c>
      <c r="Q8" s="483">
        <v>65</v>
      </c>
      <c r="R8" s="483">
        <v>57</v>
      </c>
      <c r="S8" s="483">
        <v>51</v>
      </c>
      <c r="T8" s="483">
        <v>46</v>
      </c>
      <c r="U8" s="483">
        <v>42</v>
      </c>
    </row>
    <row r="9" spans="1:21">
      <c r="B9" s="636" t="s">
        <v>1155</v>
      </c>
      <c r="C9" s="637"/>
      <c r="D9" s="551">
        <f>(D8*100)/D4</f>
        <v>92.664092738223943</v>
      </c>
      <c r="E9" s="474" t="s">
        <v>21</v>
      </c>
      <c r="I9" s="487" t="s">
        <v>1217</v>
      </c>
      <c r="J9" s="483">
        <v>92</v>
      </c>
      <c r="K9" s="483">
        <v>80</v>
      </c>
      <c r="L9" s="483">
        <v>66</v>
      </c>
      <c r="M9" s="483">
        <v>56</v>
      </c>
      <c r="N9" s="483">
        <v>49</v>
      </c>
      <c r="O9" s="483">
        <v>43</v>
      </c>
      <c r="P9" s="483">
        <v>38</v>
      </c>
      <c r="Q9" s="483">
        <v>34</v>
      </c>
      <c r="R9" s="483">
        <v>31</v>
      </c>
      <c r="S9" s="483">
        <v>29</v>
      </c>
      <c r="T9" s="483">
        <v>26</v>
      </c>
      <c r="U9" s="483">
        <v>25</v>
      </c>
    </row>
    <row r="10" spans="1:21">
      <c r="J10" s="651" t="s">
        <v>1218</v>
      </c>
      <c r="K10" s="652"/>
      <c r="L10" s="652"/>
      <c r="M10" s="652"/>
      <c r="N10" s="652"/>
      <c r="O10" s="652"/>
      <c r="P10" s="652"/>
      <c r="Q10" s="652"/>
      <c r="R10" s="652"/>
      <c r="S10" s="652"/>
      <c r="T10" s="652"/>
      <c r="U10" s="653"/>
    </row>
    <row r="11" spans="1:21">
      <c r="B11" s="638" t="s">
        <v>1156</v>
      </c>
      <c r="C11" s="639"/>
      <c r="D11" s="477">
        <f>HOUR(D7)*60+MINUTE(D7)+SECOND(D7)/60</f>
        <v>18.5</v>
      </c>
    </row>
    <row r="12" spans="1:21" ht="16.5" thickBot="1"/>
    <row r="13" spans="1:21" ht="19.5" thickBot="1">
      <c r="B13" s="641" t="s">
        <v>1157</v>
      </c>
      <c r="C13" s="642"/>
      <c r="D13" s="643"/>
      <c r="E13" s="644">
        <f>(100-D9)/LN(7/D11)</f>
        <v>-7.5483123710115674</v>
      </c>
      <c r="F13" s="645"/>
      <c r="I13" s="487" t="s">
        <v>1216</v>
      </c>
      <c r="J13" s="557">
        <v>54</v>
      </c>
    </row>
    <row r="14" spans="1:21" ht="16.5" thickBot="1">
      <c r="E14" s="70"/>
      <c r="F14" s="70"/>
      <c r="I14" s="487" t="s">
        <v>1217</v>
      </c>
      <c r="J14" s="557">
        <v>32</v>
      </c>
    </row>
    <row r="15" spans="1:21" ht="16.5" thickBot="1">
      <c r="B15" s="641" t="s">
        <v>1158</v>
      </c>
      <c r="C15" s="642"/>
      <c r="D15" s="643"/>
      <c r="E15" s="646" t="str">
        <f>IF(E13&lt;-14,"Extrèmement faible",IF(E13&lt;-12,"Très faible",IF(E13&lt;-10,"Faible",IF(E13&lt;-8,"Moyenne",IF(E13&lt;-6,"Fort",IF(E13&lt;0,"Très fort"))))))</f>
        <v>Fort</v>
      </c>
      <c r="F15" s="647"/>
    </row>
    <row r="16" spans="1:21">
      <c r="I16" s="654" t="s">
        <v>1219</v>
      </c>
      <c r="J16" s="654"/>
      <c r="K16" s="654"/>
      <c r="L16" s="654"/>
      <c r="M16" s="654"/>
      <c r="N16" s="654"/>
      <c r="O16" s="654"/>
      <c r="P16" s="654"/>
      <c r="Q16" s="654"/>
      <c r="R16" s="654"/>
      <c r="S16" s="654"/>
      <c r="T16" s="654"/>
      <c r="U16" s="654"/>
    </row>
    <row r="17" spans="2:21">
      <c r="B17" s="478" t="s">
        <v>10</v>
      </c>
      <c r="C17" s="479">
        <v>15.7</v>
      </c>
      <c r="D17" t="s">
        <v>11</v>
      </c>
    </row>
    <row r="18" spans="2:21">
      <c r="F18" s="480"/>
      <c r="G18" s="480"/>
      <c r="I18" s="488" t="s">
        <v>1220</v>
      </c>
      <c r="K18" s="52">
        <f>J13</f>
        <v>54</v>
      </c>
      <c r="L18" s="640" t="s">
        <v>1221</v>
      </c>
      <c r="M18" s="640"/>
      <c r="N18" s="640"/>
      <c r="O18" s="640"/>
      <c r="P18" s="640"/>
      <c r="Q18" s="640"/>
      <c r="R18" s="52">
        <f>((80*J3)/100)*K18/60</f>
        <v>12.6</v>
      </c>
      <c r="S18" t="s">
        <v>1222</v>
      </c>
      <c r="T18" t="s">
        <v>1223</v>
      </c>
      <c r="U18" s="489">
        <f>K18</f>
        <v>54</v>
      </c>
    </row>
    <row r="19" spans="2:21">
      <c r="B19" s="435" t="s">
        <v>1159</v>
      </c>
      <c r="C19" s="435" t="s">
        <v>1160</v>
      </c>
      <c r="D19" s="435" t="s">
        <v>354</v>
      </c>
      <c r="E19" s="481" t="s">
        <v>1164</v>
      </c>
      <c r="F19" s="482" t="s">
        <v>1162</v>
      </c>
      <c r="G19" s="482" t="s">
        <v>1163</v>
      </c>
      <c r="I19" s="490" t="s">
        <v>1214</v>
      </c>
      <c r="K19" s="70"/>
      <c r="R19" s="70"/>
    </row>
    <row r="20" spans="2:21">
      <c r="B20" s="483" t="s">
        <v>149</v>
      </c>
      <c r="C20" s="534">
        <f>(100-F20)/LN(7/G20)</f>
        <v>-4.2470038929791301</v>
      </c>
      <c r="D20" s="484">
        <v>1.3888888888888888E-2</v>
      </c>
      <c r="E20" s="536">
        <f>((0.0416666667*5000)/D20)*0.001</f>
        <v>15.000000012000003</v>
      </c>
      <c r="F20" s="485">
        <f>E20*100/C$17</f>
        <v>95.541401350318495</v>
      </c>
      <c r="G20" s="486">
        <f>HOUR(D20)*60+MINUTE(D20)+SECOND(D20)/60</f>
        <v>20</v>
      </c>
      <c r="I20" s="488" t="s">
        <v>1224</v>
      </c>
      <c r="J20" s="491" t="s">
        <v>1225</v>
      </c>
      <c r="K20" s="392">
        <f>J14/2</f>
        <v>16</v>
      </c>
      <c r="L20" s="640" t="s">
        <v>1226</v>
      </c>
      <c r="M20" s="640"/>
      <c r="N20" s="640"/>
      <c r="O20" s="640"/>
      <c r="P20" s="640"/>
      <c r="Q20" s="640"/>
      <c r="R20" s="391">
        <f>((85*J3)/100)*K20/60</f>
        <v>3.9666666666666668</v>
      </c>
      <c r="S20" t="s">
        <v>1222</v>
      </c>
      <c r="T20" t="s">
        <v>1223</v>
      </c>
      <c r="U20" s="492">
        <f>K20</f>
        <v>16</v>
      </c>
    </row>
    <row r="21" spans="2:21">
      <c r="B21" s="483" t="s">
        <v>620</v>
      </c>
      <c r="C21" s="535">
        <f>(100-F21)/LN(7/G21)</f>
        <v>-4.8359730817540028</v>
      </c>
      <c r="D21" s="476">
        <v>2.9050925925925928E-2</v>
      </c>
      <c r="E21" s="162">
        <f>((0.0416666667*10000)/D21)*0.001</f>
        <v>14.342629493545818</v>
      </c>
      <c r="F21" s="485">
        <f>E21*100/C$17</f>
        <v>91.354327984368283</v>
      </c>
      <c r="G21" s="486">
        <f>HOUR(D21)*60+MINUTE(D21)+SECOND(D21)/60</f>
        <v>41.833333333333336</v>
      </c>
      <c r="J21" s="490" t="s">
        <v>1214</v>
      </c>
      <c r="K21" s="70"/>
      <c r="L21" s="640"/>
      <c r="M21" s="640"/>
      <c r="N21" s="640"/>
      <c r="O21" s="640"/>
      <c r="P21" s="640"/>
      <c r="Q21" s="640"/>
      <c r="R21" s="70"/>
    </row>
    <row r="22" spans="2:21">
      <c r="B22" s="483" t="s">
        <v>1161</v>
      </c>
      <c r="C22" s="535">
        <f>(100-F22)/LN(7/G22)</f>
        <v>-6.8613023551843089</v>
      </c>
      <c r="D22" s="476">
        <v>6.805555555555555E-2</v>
      </c>
      <c r="E22" s="162">
        <f>((0.0416666667*21000)/D22)*0.001</f>
        <v>12.857142867428573</v>
      </c>
      <c r="F22" s="485">
        <f>E22*100/C$17</f>
        <v>81.892629728844412</v>
      </c>
      <c r="G22" s="486">
        <f>HOUR(D22)*60+MINUTE(D22)+SECOND(D22)/60</f>
        <v>98</v>
      </c>
      <c r="J22" s="491" t="s">
        <v>1227</v>
      </c>
      <c r="K22" s="392">
        <f>J14/3</f>
        <v>10.666666666666666</v>
      </c>
      <c r="L22" s="640" t="s">
        <v>1226</v>
      </c>
      <c r="M22" s="640"/>
      <c r="N22" s="640"/>
      <c r="O22" s="640"/>
      <c r="P22" s="640"/>
      <c r="Q22" s="640"/>
      <c r="R22" s="391">
        <f>((85*J3)/100)*K22/60</f>
        <v>2.6444444444444444</v>
      </c>
      <c r="S22" t="s">
        <v>1222</v>
      </c>
      <c r="T22" t="s">
        <v>1223</v>
      </c>
      <c r="U22" s="492">
        <f>K22</f>
        <v>10.666666666666666</v>
      </c>
    </row>
    <row r="23" spans="2:21">
      <c r="B23" s="483" t="s">
        <v>1153</v>
      </c>
      <c r="C23" s="535">
        <f>(100-F23)/LN(7/G23)</f>
        <v>-8.1641662465157196</v>
      </c>
      <c r="D23" s="476">
        <v>0.15625</v>
      </c>
      <c r="E23" s="162">
        <f>((0.0416666667*42195)/D23)*0.001</f>
        <v>11.2520000090016</v>
      </c>
      <c r="F23" s="485">
        <f>E23*100/C$17</f>
        <v>71.668789866252226</v>
      </c>
      <c r="G23" s="486">
        <f>HOUR(D23)*60+MINUTE(D23)+SECOND(D23)/60</f>
        <v>225</v>
      </c>
    </row>
    <row r="26" spans="2:21">
      <c r="I26" s="579" t="s">
        <v>1233</v>
      </c>
      <c r="J26" s="580"/>
      <c r="K26" s="580"/>
      <c r="L26" s="580"/>
      <c r="M26" s="580"/>
      <c r="N26" s="580"/>
      <c r="O26" s="580"/>
      <c r="P26" s="580"/>
      <c r="Q26" s="580"/>
      <c r="R26" s="580"/>
      <c r="S26" s="580"/>
      <c r="T26" s="580"/>
      <c r="U26" s="581"/>
    </row>
    <row r="34" spans="9:17">
      <c r="I34" s="657" t="s">
        <v>1234</v>
      </c>
      <c r="J34" s="658"/>
      <c r="K34" s="655">
        <v>2.8761574074074075E-2</v>
      </c>
      <c r="L34" s="656"/>
      <c r="M34" s="532"/>
      <c r="N34" s="532"/>
      <c r="O34" s="532"/>
      <c r="P34" s="532"/>
      <c r="Q34" s="533"/>
    </row>
    <row r="35" spans="9:17">
      <c r="I35" s="415"/>
      <c r="J35" s="183"/>
      <c r="K35" s="183"/>
      <c r="L35" s="183"/>
      <c r="M35" s="183"/>
      <c r="N35" s="183"/>
      <c r="O35" s="183"/>
      <c r="P35" s="183"/>
      <c r="Q35" s="416"/>
    </row>
    <row r="36" spans="9:17">
      <c r="I36" s="537" t="s">
        <v>1236</v>
      </c>
      <c r="J36" s="538">
        <f>((0.0416666667*10000)/K34)*0.001</f>
        <v>14.486921540764587</v>
      </c>
      <c r="K36" s="539" t="s">
        <v>11</v>
      </c>
      <c r="L36" s="540" t="s">
        <v>1237</v>
      </c>
      <c r="M36" s="659">
        <f>TIME("00",INT(60/J36),((60/J36)-INT(60/J36))*60)</f>
        <v>2.8703703703703708E-3</v>
      </c>
      <c r="N36" s="659"/>
      <c r="O36" s="659"/>
      <c r="P36" s="660" t="s">
        <v>580</v>
      </c>
      <c r="Q36" s="661"/>
    </row>
    <row r="37" spans="9:17">
      <c r="I37" s="70"/>
      <c r="J37" s="70"/>
      <c r="K37" s="70"/>
      <c r="L37" s="70"/>
      <c r="M37" s="70"/>
      <c r="N37" s="70"/>
      <c r="O37" s="70"/>
      <c r="P37" s="70"/>
      <c r="Q37" s="70"/>
    </row>
    <row r="38" spans="9:17">
      <c r="I38" s="541" t="s">
        <v>1238</v>
      </c>
      <c r="J38" s="542"/>
      <c r="K38" s="542"/>
      <c r="L38" s="542"/>
      <c r="M38" s="543"/>
      <c r="N38" s="543"/>
      <c r="O38" s="543"/>
      <c r="P38" s="543"/>
      <c r="Q38" s="544"/>
    </row>
    <row r="39" spans="9:17">
      <c r="I39" s="114"/>
      <c r="J39" s="664" t="s">
        <v>1239</v>
      </c>
      <c r="K39" s="664"/>
      <c r="L39" s="664"/>
      <c r="M39" s="664"/>
      <c r="N39" s="665">
        <f>TIME("00",INT(60/J36),((60/J36)-INT(60/J36))*60)</f>
        <v>2.8703703703703708E-3</v>
      </c>
      <c r="O39" s="665"/>
      <c r="P39" s="665"/>
      <c r="Q39" s="546"/>
    </row>
    <row r="40" spans="9:17">
      <c r="I40" s="547"/>
      <c r="J40" s="666" t="s">
        <v>1240</v>
      </c>
      <c r="K40" s="666"/>
      <c r="L40" s="666"/>
      <c r="M40" s="666"/>
      <c r="N40" s="666"/>
      <c r="O40" s="666"/>
      <c r="P40" s="666"/>
      <c r="Q40" s="548"/>
    </row>
    <row r="41" spans="9:17">
      <c r="I41" s="70"/>
      <c r="J41" s="70"/>
      <c r="K41" s="70"/>
      <c r="L41" s="70"/>
      <c r="M41" s="70"/>
      <c r="N41" s="70"/>
      <c r="O41" s="70"/>
      <c r="P41" s="70"/>
      <c r="Q41" s="70"/>
    </row>
    <row r="42" spans="9:17">
      <c r="I42" s="541" t="s">
        <v>1241</v>
      </c>
      <c r="J42" s="542"/>
      <c r="K42" s="542"/>
      <c r="L42" s="542"/>
      <c r="M42" s="543"/>
      <c r="N42" s="543"/>
      <c r="O42" s="543"/>
      <c r="P42" s="543"/>
      <c r="Q42" s="544"/>
    </row>
    <row r="43" spans="9:17">
      <c r="I43" s="114"/>
      <c r="J43" s="662" t="s">
        <v>1242</v>
      </c>
      <c r="K43" s="662"/>
      <c r="L43" s="662"/>
      <c r="M43" s="662"/>
      <c r="N43" s="662"/>
      <c r="O43" s="662"/>
      <c r="P43" s="662"/>
      <c r="Q43" s="663"/>
    </row>
    <row r="44" spans="9:17">
      <c r="I44" s="114"/>
      <c r="J44" s="549"/>
      <c r="K44" s="549"/>
      <c r="L44" s="549"/>
      <c r="M44" s="549"/>
      <c r="N44" s="549"/>
      <c r="O44" s="549"/>
      <c r="P44" s="549"/>
      <c r="Q44" s="546"/>
    </row>
    <row r="45" spans="9:17">
      <c r="I45" s="114"/>
      <c r="J45" s="549" t="s">
        <v>1243</v>
      </c>
      <c r="K45" s="549"/>
      <c r="L45" s="549" t="s">
        <v>1246</v>
      </c>
      <c r="M45" s="659">
        <f>TIME("00",INT(60/J36),((60/J36)-INT(60/J36))*60)*2.1</f>
        <v>6.0277777777777786E-3</v>
      </c>
      <c r="N45" s="659"/>
      <c r="O45" s="659"/>
      <c r="P45" s="545"/>
      <c r="Q45" s="546"/>
    </row>
    <row r="46" spans="9:17">
      <c r="I46" s="114"/>
      <c r="J46" s="549" t="s">
        <v>1245</v>
      </c>
      <c r="K46" s="549"/>
      <c r="L46" s="549"/>
      <c r="M46" s="549"/>
      <c r="N46" s="549"/>
      <c r="O46" s="549"/>
      <c r="P46" s="549"/>
      <c r="Q46" s="546"/>
    </row>
    <row r="47" spans="9:17">
      <c r="I47" s="114"/>
      <c r="J47" s="549" t="s">
        <v>1244</v>
      </c>
      <c r="K47" s="549"/>
      <c r="L47" s="549" t="s">
        <v>1223</v>
      </c>
      <c r="M47" s="659">
        <f>TIME("00",INT(60/J36),((60/J36)-INT(60/J36))*60)*3.1</f>
        <v>8.8981481481481498E-3</v>
      </c>
      <c r="N47" s="659"/>
      <c r="O47" s="659"/>
      <c r="P47" s="545"/>
      <c r="Q47" s="546"/>
    </row>
    <row r="48" spans="9:17">
      <c r="I48" s="547"/>
      <c r="J48" s="550"/>
      <c r="K48" s="550"/>
      <c r="L48" s="550"/>
      <c r="M48" s="550"/>
      <c r="N48" s="550"/>
      <c r="O48" s="550"/>
      <c r="P48" s="550"/>
      <c r="Q48" s="548"/>
    </row>
  </sheetData>
  <sheetProtection password="8026" sheet="1" objects="1" scenarios="1"/>
  <mergeCells count="30">
    <mergeCell ref="M36:O36"/>
    <mergeCell ref="P36:Q36"/>
    <mergeCell ref="M47:O47"/>
    <mergeCell ref="J43:Q43"/>
    <mergeCell ref="J39:M39"/>
    <mergeCell ref="N39:P39"/>
    <mergeCell ref="J40:P40"/>
    <mergeCell ref="M45:O45"/>
    <mergeCell ref="I1:U1"/>
    <mergeCell ref="J10:U10"/>
    <mergeCell ref="I16:U16"/>
    <mergeCell ref="L18:Q18"/>
    <mergeCell ref="I26:U26"/>
    <mergeCell ref="K34:L34"/>
    <mergeCell ref="I34:J34"/>
    <mergeCell ref="B9:C9"/>
    <mergeCell ref="B11:C11"/>
    <mergeCell ref="L20:Q20"/>
    <mergeCell ref="L21:Q21"/>
    <mergeCell ref="L22:Q22"/>
    <mergeCell ref="B13:D13"/>
    <mergeCell ref="E13:F13"/>
    <mergeCell ref="B15:D15"/>
    <mergeCell ref="E15:F15"/>
    <mergeCell ref="A1:G1"/>
    <mergeCell ref="A2:G2"/>
    <mergeCell ref="B4:C4"/>
    <mergeCell ref="B6:C6"/>
    <mergeCell ref="B7:C7"/>
    <mergeCell ref="B8:C8"/>
  </mergeCells>
  <phoneticPr fontId="91" type="noConversion"/>
  <printOptions horizontalCentered="1" verticalCentered="1"/>
  <pageMargins left="0.39370078740157483" right="0.39370078740157483" top="0.39370078740157483" bottom="0.39370078740157483" header="0.51181102362204722" footer="0.51181102362204722"/>
  <pageSetup paperSize="9" orientation="portrait" horizontalDpi="4294967294" verticalDpi="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dimension ref="A1:G18"/>
  <sheetViews>
    <sheetView workbookViewId="0">
      <selection activeCell="C18" sqref="C18"/>
    </sheetView>
  </sheetViews>
  <sheetFormatPr baseColWidth="10" defaultRowHeight="15.75"/>
  <cols>
    <col min="1" max="1" width="22.75" bestFit="1" customWidth="1"/>
    <col min="2" max="2" width="9.375" bestFit="1" customWidth="1"/>
    <col min="3" max="3" width="11.625" customWidth="1"/>
    <col min="4" max="4" width="2.625" bestFit="1" customWidth="1"/>
    <col min="5" max="5" width="3.125" bestFit="1" customWidth="1"/>
    <col min="6" max="6" width="13.5" bestFit="1" customWidth="1"/>
    <col min="7" max="7" width="16.375" bestFit="1" customWidth="1"/>
  </cols>
  <sheetData>
    <row r="1" spans="1:7" ht="18">
      <c r="A1" s="667" t="s">
        <v>1187</v>
      </c>
      <c r="B1" s="668"/>
      <c r="C1" s="668"/>
      <c r="D1" s="668"/>
      <c r="E1" s="668"/>
      <c r="F1" s="668"/>
      <c r="G1" s="669"/>
    </row>
    <row r="2" spans="1:7">
      <c r="F2" s="495" t="s">
        <v>1188</v>
      </c>
      <c r="G2" s="495" t="s">
        <v>1189</v>
      </c>
    </row>
    <row r="3" spans="1:7">
      <c r="E3" s="320" t="s">
        <v>1190</v>
      </c>
      <c r="F3" s="101" t="s">
        <v>1191</v>
      </c>
      <c r="G3" s="496">
        <v>0.91</v>
      </c>
    </row>
    <row r="4" spans="1:7">
      <c r="F4" s="101" t="s">
        <v>1192</v>
      </c>
      <c r="G4" s="496">
        <v>0.92</v>
      </c>
    </row>
    <row r="5" spans="1:7">
      <c r="F5" s="101" t="s">
        <v>1193</v>
      </c>
      <c r="G5" s="496">
        <v>0.93</v>
      </c>
    </row>
    <row r="6" spans="1:7">
      <c r="A6" s="497" t="s">
        <v>1159</v>
      </c>
      <c r="B6" s="498">
        <v>10000</v>
      </c>
      <c r="C6" s="499" t="s">
        <v>500</v>
      </c>
      <c r="D6" s="500">
        <f>B6/1000</f>
        <v>10</v>
      </c>
      <c r="E6" s="501" t="s">
        <v>40</v>
      </c>
      <c r="F6" s="101" t="s">
        <v>1194</v>
      </c>
      <c r="G6" s="496">
        <v>0.94</v>
      </c>
    </row>
    <row r="7" spans="1:7">
      <c r="A7" s="497" t="s">
        <v>354</v>
      </c>
      <c r="B7" s="373">
        <v>2.8761574074074075E-2</v>
      </c>
      <c r="C7" s="502">
        <f>HOUR(B7)*60+MINUTE(B7)+SECOND(B7)/60</f>
        <v>41.416666666666664</v>
      </c>
      <c r="D7" s="501"/>
      <c r="E7" s="501"/>
      <c r="F7" s="101" t="s">
        <v>1195</v>
      </c>
      <c r="G7" s="496">
        <v>0.95</v>
      </c>
    </row>
    <row r="8" spans="1:7">
      <c r="A8" s="503"/>
      <c r="B8" s="504"/>
      <c r="C8" s="502"/>
      <c r="D8" s="501"/>
      <c r="E8" s="501"/>
      <c r="F8" s="101" t="s">
        <v>1196</v>
      </c>
      <c r="G8" s="496">
        <v>0.96</v>
      </c>
    </row>
    <row r="9" spans="1:7">
      <c r="A9" s="497" t="s">
        <v>1152</v>
      </c>
      <c r="B9" s="505">
        <f>B6/C7</f>
        <v>241.44869215291752</v>
      </c>
      <c r="C9" s="506" t="s">
        <v>1151</v>
      </c>
      <c r="D9" s="382"/>
      <c r="E9" s="382"/>
      <c r="F9" s="101" t="s">
        <v>1197</v>
      </c>
      <c r="G9" s="496">
        <v>0.97</v>
      </c>
    </row>
    <row r="10" spans="1:7">
      <c r="A10" s="497" t="s">
        <v>1198</v>
      </c>
      <c r="B10" s="507">
        <v>1.02</v>
      </c>
      <c r="C10" s="499"/>
      <c r="F10" s="101" t="s">
        <v>1199</v>
      </c>
      <c r="G10" s="496">
        <v>0.98</v>
      </c>
    </row>
    <row r="11" spans="1:7">
      <c r="A11" s="497" t="s">
        <v>1200</v>
      </c>
      <c r="B11" s="508">
        <v>73</v>
      </c>
      <c r="C11" s="499" t="s">
        <v>1201</v>
      </c>
      <c r="F11" s="101" t="s">
        <v>1202</v>
      </c>
      <c r="G11" s="496">
        <v>0.99</v>
      </c>
    </row>
    <row r="12" spans="1:7" s="512" customFormat="1">
      <c r="A12" s="509" t="s">
        <v>1203</v>
      </c>
      <c r="B12" s="510">
        <f>B11*B10</f>
        <v>74.460000000000008</v>
      </c>
      <c r="C12" s="511" t="s">
        <v>1204</v>
      </c>
      <c r="F12" s="101" t="s">
        <v>1205</v>
      </c>
      <c r="G12" s="496">
        <v>1</v>
      </c>
    </row>
    <row r="13" spans="1:7">
      <c r="A13" s="513" t="s">
        <v>1206</v>
      </c>
      <c r="B13" s="514">
        <f>B12*D6</f>
        <v>744.60000000000014</v>
      </c>
      <c r="C13" s="499" t="s">
        <v>1207</v>
      </c>
      <c r="F13" s="101" t="s">
        <v>1208</v>
      </c>
      <c r="G13" s="496">
        <v>1.01</v>
      </c>
    </row>
    <row r="14" spans="1:7">
      <c r="F14" s="101" t="s">
        <v>1209</v>
      </c>
      <c r="G14" s="496">
        <v>1.02</v>
      </c>
    </row>
    <row r="15" spans="1:7">
      <c r="F15" s="101" t="s">
        <v>1210</v>
      </c>
      <c r="G15" s="496">
        <v>1.03</v>
      </c>
    </row>
    <row r="16" spans="1:7">
      <c r="F16" s="101" t="s">
        <v>1211</v>
      </c>
      <c r="G16" s="496">
        <v>1.04</v>
      </c>
    </row>
    <row r="17" spans="6:7">
      <c r="F17" s="101" t="s">
        <v>1212</v>
      </c>
      <c r="G17" s="496">
        <v>1.05</v>
      </c>
    </row>
    <row r="18" spans="6:7">
      <c r="F18" s="101" t="s">
        <v>1213</v>
      </c>
      <c r="G18" s="496">
        <v>1.06</v>
      </c>
    </row>
  </sheetData>
  <sheetProtection password="8026" sheet="1" objects="1" scenarios="1"/>
  <mergeCells count="1">
    <mergeCell ref="A1:G1"/>
  </mergeCells>
  <phoneticPr fontId="91" type="noConversion"/>
  <pageMargins left="0.78740157499999996" right="0.78740157499999996" top="0.984251969" bottom="0.984251969" header="0.4921259845" footer="0.4921259845"/>
  <pageSetup paperSize="9" orientation="portrait" horizontalDpi="4294967294" verticalDpi="0" r:id="rId1"/>
  <headerFooter alignWithMargins="0"/>
  <drawing r:id="rId2"/>
</worksheet>
</file>

<file path=xl/worksheets/sheet9.xml><?xml version="1.0" encoding="utf-8"?>
<worksheet xmlns="http://schemas.openxmlformats.org/spreadsheetml/2006/main" xmlns:r="http://schemas.openxmlformats.org/officeDocument/2006/relationships">
  <sheetPr codeName="Feuil9"/>
  <dimension ref="A2:M28"/>
  <sheetViews>
    <sheetView zoomScale="75" workbookViewId="0">
      <selection activeCell="R47" sqref="R47"/>
    </sheetView>
  </sheetViews>
  <sheetFormatPr baseColWidth="10" defaultRowHeight="15.75"/>
  <cols>
    <col min="1" max="1" width="7" style="93" customWidth="1"/>
    <col min="2" max="2" width="10.25" style="93" customWidth="1"/>
    <col min="3" max="12" width="9.25" style="93" customWidth="1"/>
    <col min="13" max="13" width="10" style="93" bestFit="1" customWidth="1"/>
    <col min="14" max="16384" width="11" style="70"/>
  </cols>
  <sheetData>
    <row r="2" spans="1:13">
      <c r="A2" s="670" t="s">
        <v>351</v>
      </c>
      <c r="B2" s="671"/>
      <c r="C2" s="671"/>
      <c r="D2" s="671"/>
      <c r="E2" s="671"/>
      <c r="F2" s="671"/>
      <c r="G2" s="671"/>
      <c r="H2" s="671"/>
      <c r="I2" s="671"/>
      <c r="J2" s="671"/>
      <c r="K2" s="671"/>
      <c r="L2" s="671"/>
      <c r="M2" s="672"/>
    </row>
    <row r="3" spans="1:13">
      <c r="A3" s="673"/>
      <c r="B3" s="674"/>
      <c r="C3" s="674"/>
      <c r="D3" s="674"/>
      <c r="E3" s="674"/>
      <c r="F3" s="674"/>
      <c r="G3" s="674"/>
      <c r="H3" s="674"/>
      <c r="I3" s="674"/>
      <c r="J3" s="674"/>
      <c r="K3" s="674"/>
      <c r="L3" s="674"/>
      <c r="M3" s="675"/>
    </row>
    <row r="4" spans="1:13">
      <c r="A4" s="676" t="s">
        <v>352</v>
      </c>
      <c r="B4" s="676"/>
      <c r="C4" s="676"/>
      <c r="D4" s="676"/>
      <c r="E4" s="676"/>
      <c r="F4" s="676"/>
      <c r="G4" s="676"/>
      <c r="H4" s="676"/>
      <c r="I4" s="676"/>
      <c r="J4" s="676"/>
      <c r="K4" s="676"/>
      <c r="L4" s="676"/>
      <c r="M4" s="676"/>
    </row>
    <row r="5" spans="1:13" s="93" customFormat="1" ht="30.75" customHeight="1">
      <c r="A5" s="143" t="s">
        <v>155</v>
      </c>
      <c r="B5" s="143" t="s">
        <v>156</v>
      </c>
      <c r="C5" s="144" t="s">
        <v>64</v>
      </c>
      <c r="D5" s="144" t="s">
        <v>145</v>
      </c>
      <c r="E5" s="144" t="s">
        <v>146</v>
      </c>
      <c r="F5" s="144" t="s">
        <v>147</v>
      </c>
      <c r="G5" s="144" t="s">
        <v>148</v>
      </c>
      <c r="H5" s="144" t="s">
        <v>149</v>
      </c>
      <c r="I5" s="144" t="s">
        <v>150</v>
      </c>
      <c r="J5" s="144" t="s">
        <v>151</v>
      </c>
      <c r="K5" s="144" t="s">
        <v>152</v>
      </c>
      <c r="L5" s="144" t="s">
        <v>153</v>
      </c>
      <c r="M5" s="144" t="s">
        <v>154</v>
      </c>
    </row>
    <row r="6" spans="1:13">
      <c r="A6" s="145">
        <v>8</v>
      </c>
      <c r="B6" s="146">
        <v>28</v>
      </c>
      <c r="C6" s="139" t="s">
        <v>157</v>
      </c>
      <c r="D6" s="139" t="s">
        <v>175</v>
      </c>
      <c r="E6" s="139" t="s">
        <v>192</v>
      </c>
      <c r="F6" s="139" t="s">
        <v>209</v>
      </c>
      <c r="G6" s="139" t="s">
        <v>227</v>
      </c>
      <c r="H6" s="139" t="s">
        <v>244</v>
      </c>
      <c r="I6" s="139" t="s">
        <v>261</v>
      </c>
      <c r="J6" s="139" t="s">
        <v>279</v>
      </c>
      <c r="K6" s="139" t="s">
        <v>297</v>
      </c>
      <c r="L6" s="139" t="s">
        <v>315</v>
      </c>
      <c r="M6" s="139" t="s">
        <v>333</v>
      </c>
    </row>
    <row r="7" spans="1:13">
      <c r="A7" s="145">
        <v>9</v>
      </c>
      <c r="B7" s="146">
        <v>31.5</v>
      </c>
      <c r="C7" s="139" t="s">
        <v>158</v>
      </c>
      <c r="D7" s="139" t="s">
        <v>176</v>
      </c>
      <c r="E7" s="139" t="s">
        <v>193</v>
      </c>
      <c r="F7" s="139" t="s">
        <v>210</v>
      </c>
      <c r="G7" s="139" t="s">
        <v>228</v>
      </c>
      <c r="H7" s="139" t="s">
        <v>245</v>
      </c>
      <c r="I7" s="139" t="s">
        <v>262</v>
      </c>
      <c r="J7" s="139" t="s">
        <v>280</v>
      </c>
      <c r="K7" s="139" t="s">
        <v>298</v>
      </c>
      <c r="L7" s="139" t="s">
        <v>316</v>
      </c>
      <c r="M7" s="139" t="s">
        <v>334</v>
      </c>
    </row>
    <row r="8" spans="1:13">
      <c r="A8" s="145">
        <v>10</v>
      </c>
      <c r="B8" s="146">
        <v>35</v>
      </c>
      <c r="C8" s="139" t="s">
        <v>159</v>
      </c>
      <c r="D8" s="139" t="s">
        <v>177</v>
      </c>
      <c r="E8" s="139" t="s">
        <v>194</v>
      </c>
      <c r="F8" s="139" t="s">
        <v>211</v>
      </c>
      <c r="G8" s="139" t="s">
        <v>229</v>
      </c>
      <c r="H8" s="139" t="s">
        <v>246</v>
      </c>
      <c r="I8" s="139" t="s">
        <v>263</v>
      </c>
      <c r="J8" s="139" t="s">
        <v>281</v>
      </c>
      <c r="K8" s="139" t="s">
        <v>299</v>
      </c>
      <c r="L8" s="139" t="s">
        <v>317</v>
      </c>
      <c r="M8" s="139" t="s">
        <v>335</v>
      </c>
    </row>
    <row r="9" spans="1:13" s="148" customFormat="1">
      <c r="A9" s="147"/>
      <c r="B9" s="146"/>
      <c r="C9" s="138"/>
      <c r="D9" s="138"/>
      <c r="E9" s="138"/>
      <c r="F9" s="138"/>
      <c r="G9" s="138"/>
      <c r="H9" s="138"/>
      <c r="I9" s="138"/>
      <c r="J9" s="138"/>
      <c r="K9" s="138"/>
      <c r="L9" s="138"/>
      <c r="M9" s="138"/>
    </row>
    <row r="10" spans="1:13">
      <c r="A10" s="145">
        <v>11</v>
      </c>
      <c r="B10" s="146">
        <v>38.5</v>
      </c>
      <c r="C10" s="139" t="s">
        <v>160</v>
      </c>
      <c r="D10" s="139" t="s">
        <v>178</v>
      </c>
      <c r="E10" s="139" t="s">
        <v>195</v>
      </c>
      <c r="F10" s="139" t="s">
        <v>212</v>
      </c>
      <c r="G10" s="139" t="s">
        <v>230</v>
      </c>
      <c r="H10" s="139" t="s">
        <v>247</v>
      </c>
      <c r="I10" s="139" t="s">
        <v>264</v>
      </c>
      <c r="J10" s="139" t="s">
        <v>282</v>
      </c>
      <c r="K10" s="139" t="s">
        <v>300</v>
      </c>
      <c r="L10" s="139" t="s">
        <v>318</v>
      </c>
      <c r="M10" s="139" t="s">
        <v>336</v>
      </c>
    </row>
    <row r="11" spans="1:13">
      <c r="A11" s="145">
        <v>12</v>
      </c>
      <c r="B11" s="146">
        <v>42</v>
      </c>
      <c r="C11" s="139" t="s">
        <v>161</v>
      </c>
      <c r="D11" s="139" t="s">
        <v>179</v>
      </c>
      <c r="E11" s="139" t="s">
        <v>196</v>
      </c>
      <c r="F11" s="139" t="s">
        <v>213</v>
      </c>
      <c r="G11" s="139" t="s">
        <v>231</v>
      </c>
      <c r="H11" s="139" t="s">
        <v>248</v>
      </c>
      <c r="I11" s="139" t="s">
        <v>265</v>
      </c>
      <c r="J11" s="139" t="s">
        <v>283</v>
      </c>
      <c r="K11" s="139" t="s">
        <v>301</v>
      </c>
      <c r="L11" s="139" t="s">
        <v>319</v>
      </c>
      <c r="M11" s="139" t="s">
        <v>337</v>
      </c>
    </row>
    <row r="12" spans="1:13">
      <c r="A12" s="145">
        <v>13</v>
      </c>
      <c r="B12" s="146">
        <v>45.5</v>
      </c>
      <c r="C12" s="139" t="s">
        <v>162</v>
      </c>
      <c r="D12" s="139" t="s">
        <v>180</v>
      </c>
      <c r="E12" s="139" t="s">
        <v>197</v>
      </c>
      <c r="F12" s="139" t="s">
        <v>214</v>
      </c>
      <c r="G12" s="139" t="s">
        <v>232</v>
      </c>
      <c r="H12" s="139" t="s">
        <v>249</v>
      </c>
      <c r="I12" s="139" t="s">
        <v>266</v>
      </c>
      <c r="J12" s="139" t="s">
        <v>284</v>
      </c>
      <c r="K12" s="139" t="s">
        <v>302</v>
      </c>
      <c r="L12" s="139" t="s">
        <v>320</v>
      </c>
      <c r="M12" s="139" t="s">
        <v>338</v>
      </c>
    </row>
    <row r="13" spans="1:13" s="148" customFormat="1">
      <c r="A13" s="147"/>
      <c r="B13" s="146"/>
      <c r="C13" s="138"/>
      <c r="D13" s="138"/>
      <c r="E13" s="138"/>
      <c r="F13" s="138"/>
      <c r="G13" s="138"/>
      <c r="H13" s="138"/>
      <c r="I13" s="138"/>
      <c r="J13" s="138"/>
      <c r="K13" s="138"/>
      <c r="L13" s="138"/>
      <c r="M13" s="138"/>
    </row>
    <row r="14" spans="1:13">
      <c r="A14" s="145">
        <v>14</v>
      </c>
      <c r="B14" s="146">
        <v>49</v>
      </c>
      <c r="C14" s="139" t="s">
        <v>163</v>
      </c>
      <c r="D14" s="139" t="s">
        <v>181</v>
      </c>
      <c r="E14" s="139" t="s">
        <v>198</v>
      </c>
      <c r="F14" s="139" t="s">
        <v>215</v>
      </c>
      <c r="G14" s="139" t="s">
        <v>233</v>
      </c>
      <c r="H14" s="139" t="s">
        <v>250</v>
      </c>
      <c r="I14" s="139" t="s">
        <v>267</v>
      </c>
      <c r="J14" s="139" t="s">
        <v>285</v>
      </c>
      <c r="K14" s="139" t="s">
        <v>303</v>
      </c>
      <c r="L14" s="139" t="s">
        <v>321</v>
      </c>
      <c r="M14" s="139" t="s">
        <v>339</v>
      </c>
    </row>
    <row r="15" spans="1:13">
      <c r="A15" s="145">
        <v>15</v>
      </c>
      <c r="B15" s="146">
        <v>52.5</v>
      </c>
      <c r="C15" s="139" t="s">
        <v>164</v>
      </c>
      <c r="D15" s="139" t="s">
        <v>182</v>
      </c>
      <c r="E15" s="139" t="s">
        <v>199</v>
      </c>
      <c r="F15" s="139" t="s">
        <v>216</v>
      </c>
      <c r="G15" s="139" t="s">
        <v>234</v>
      </c>
      <c r="H15" s="139" t="s">
        <v>251</v>
      </c>
      <c r="I15" s="139" t="s">
        <v>268</v>
      </c>
      <c r="J15" s="139" t="s">
        <v>286</v>
      </c>
      <c r="K15" s="139" t="s">
        <v>304</v>
      </c>
      <c r="L15" s="139" t="s">
        <v>322</v>
      </c>
      <c r="M15" s="139" t="s">
        <v>340</v>
      </c>
    </row>
    <row r="16" spans="1:13">
      <c r="A16" s="145">
        <v>16</v>
      </c>
      <c r="B16" s="146">
        <v>56</v>
      </c>
      <c r="C16" s="139" t="s">
        <v>165</v>
      </c>
      <c r="D16" s="139" t="s">
        <v>183</v>
      </c>
      <c r="E16" s="139" t="s">
        <v>200</v>
      </c>
      <c r="F16" s="139" t="s">
        <v>217</v>
      </c>
      <c r="G16" s="139" t="s">
        <v>235</v>
      </c>
      <c r="H16" s="139" t="s">
        <v>252</v>
      </c>
      <c r="I16" s="139" t="s">
        <v>269</v>
      </c>
      <c r="J16" s="139" t="s">
        <v>287</v>
      </c>
      <c r="K16" s="139" t="s">
        <v>305</v>
      </c>
      <c r="L16" s="139" t="s">
        <v>323</v>
      </c>
      <c r="M16" s="139" t="s">
        <v>341</v>
      </c>
    </row>
    <row r="17" spans="1:13" s="148" customFormat="1">
      <c r="A17" s="147"/>
      <c r="B17" s="146"/>
      <c r="C17" s="138"/>
      <c r="D17" s="138"/>
      <c r="E17" s="138"/>
      <c r="F17" s="138"/>
      <c r="G17" s="138"/>
      <c r="H17" s="138"/>
      <c r="I17" s="138"/>
      <c r="J17" s="138"/>
      <c r="K17" s="138"/>
      <c r="L17" s="138"/>
      <c r="M17" s="138"/>
    </row>
    <row r="18" spans="1:13" s="148" customFormat="1">
      <c r="A18" s="145">
        <v>17</v>
      </c>
      <c r="B18" s="146">
        <v>59.5</v>
      </c>
      <c r="C18" s="139" t="s">
        <v>166</v>
      </c>
      <c r="D18" s="139" t="s">
        <v>184</v>
      </c>
      <c r="E18" s="139" t="s">
        <v>201</v>
      </c>
      <c r="F18" s="139" t="s">
        <v>218</v>
      </c>
      <c r="G18" s="139" t="s">
        <v>236</v>
      </c>
      <c r="H18" s="139" t="s">
        <v>230</v>
      </c>
      <c r="I18" s="139" t="s">
        <v>270</v>
      </c>
      <c r="J18" s="139" t="s">
        <v>288</v>
      </c>
      <c r="K18" s="139" t="s">
        <v>306</v>
      </c>
      <c r="L18" s="139" t="s">
        <v>324</v>
      </c>
      <c r="M18" s="139" t="s">
        <v>342</v>
      </c>
    </row>
    <row r="19" spans="1:13" s="148" customFormat="1">
      <c r="A19" s="145">
        <v>18</v>
      </c>
      <c r="B19" s="146">
        <v>63</v>
      </c>
      <c r="C19" s="139" t="s">
        <v>167</v>
      </c>
      <c r="D19" s="139" t="s">
        <v>163</v>
      </c>
      <c r="E19" s="139" t="s">
        <v>158</v>
      </c>
      <c r="F19" s="139" t="s">
        <v>219</v>
      </c>
      <c r="G19" s="139" t="s">
        <v>237</v>
      </c>
      <c r="H19" s="139" t="s">
        <v>253</v>
      </c>
      <c r="I19" s="138" t="s">
        <v>271</v>
      </c>
      <c r="J19" s="139" t="s">
        <v>289</v>
      </c>
      <c r="K19" s="139" t="s">
        <v>307</v>
      </c>
      <c r="L19" s="139" t="s">
        <v>325</v>
      </c>
      <c r="M19" s="139" t="s">
        <v>343</v>
      </c>
    </row>
    <row r="20" spans="1:13" s="148" customFormat="1">
      <c r="A20" s="145">
        <v>19</v>
      </c>
      <c r="B20" s="146">
        <v>66.5</v>
      </c>
      <c r="C20" s="139" t="s">
        <v>168</v>
      </c>
      <c r="D20" s="139" t="s">
        <v>185</v>
      </c>
      <c r="E20" s="139" t="s">
        <v>202</v>
      </c>
      <c r="F20" s="139" t="s">
        <v>220</v>
      </c>
      <c r="G20" s="139" t="s">
        <v>214</v>
      </c>
      <c r="H20" s="139" t="s">
        <v>254</v>
      </c>
      <c r="I20" s="139" t="s">
        <v>272</v>
      </c>
      <c r="J20" s="139" t="s">
        <v>290</v>
      </c>
      <c r="K20" s="139" t="s">
        <v>308</v>
      </c>
      <c r="L20" s="139" t="s">
        <v>326</v>
      </c>
      <c r="M20" s="139" t="s">
        <v>344</v>
      </c>
    </row>
    <row r="21" spans="1:13">
      <c r="A21" s="52"/>
      <c r="B21" s="146"/>
      <c r="C21" s="149"/>
      <c r="D21" s="149"/>
      <c r="E21" s="149"/>
      <c r="F21" s="149"/>
      <c r="G21" s="149"/>
      <c r="H21" s="149"/>
      <c r="I21" s="149"/>
      <c r="J21" s="149"/>
      <c r="K21" s="149"/>
      <c r="L21" s="149"/>
      <c r="M21" s="149"/>
    </row>
    <row r="22" spans="1:13">
      <c r="A22" s="145">
        <v>20</v>
      </c>
      <c r="B22" s="146">
        <v>70</v>
      </c>
      <c r="C22" s="139" t="s">
        <v>169</v>
      </c>
      <c r="D22" s="139" t="s">
        <v>186</v>
      </c>
      <c r="E22" s="139" t="s">
        <v>203</v>
      </c>
      <c r="F22" s="139" t="s">
        <v>221</v>
      </c>
      <c r="G22" s="139" t="s">
        <v>238</v>
      </c>
      <c r="H22" s="139" t="s">
        <v>255</v>
      </c>
      <c r="I22" s="139" t="s">
        <v>273</v>
      </c>
      <c r="J22" s="139" t="s">
        <v>291</v>
      </c>
      <c r="K22" s="139" t="s">
        <v>309</v>
      </c>
      <c r="L22" s="139" t="s">
        <v>327</v>
      </c>
      <c r="M22" s="139" t="s">
        <v>345</v>
      </c>
    </row>
    <row r="23" spans="1:13">
      <c r="A23" s="145">
        <v>21</v>
      </c>
      <c r="B23" s="146">
        <v>73.5</v>
      </c>
      <c r="C23" s="139" t="s">
        <v>170</v>
      </c>
      <c r="D23" s="139" t="s">
        <v>187</v>
      </c>
      <c r="E23" s="139" t="s">
        <v>204</v>
      </c>
      <c r="F23" s="139" t="s">
        <v>222</v>
      </c>
      <c r="G23" s="139" t="s">
        <v>239</v>
      </c>
      <c r="H23" s="139" t="s">
        <v>256</v>
      </c>
      <c r="I23" s="139" t="s">
        <v>274</v>
      </c>
      <c r="J23" s="139" t="s">
        <v>292</v>
      </c>
      <c r="K23" s="139" t="s">
        <v>310</v>
      </c>
      <c r="L23" s="139" t="s">
        <v>328</v>
      </c>
      <c r="M23" s="139" t="s">
        <v>346</v>
      </c>
    </row>
    <row r="24" spans="1:13">
      <c r="A24" s="145">
        <v>22</v>
      </c>
      <c r="B24" s="146">
        <v>77</v>
      </c>
      <c r="C24" s="139" t="s">
        <v>171</v>
      </c>
      <c r="D24" s="139" t="s">
        <v>188</v>
      </c>
      <c r="E24" s="139" t="s">
        <v>205</v>
      </c>
      <c r="F24" s="139" t="s">
        <v>223</v>
      </c>
      <c r="G24" s="139" t="s">
        <v>240</v>
      </c>
      <c r="H24" s="139" t="s">
        <v>257</v>
      </c>
      <c r="I24" s="139" t="s">
        <v>275</v>
      </c>
      <c r="J24" s="139" t="s">
        <v>293</v>
      </c>
      <c r="K24" s="139" t="s">
        <v>311</v>
      </c>
      <c r="L24" s="139" t="s">
        <v>329</v>
      </c>
      <c r="M24" s="139" t="s">
        <v>347</v>
      </c>
    </row>
    <row r="25" spans="1:13">
      <c r="A25" s="52"/>
      <c r="B25" s="146"/>
      <c r="C25" s="149"/>
      <c r="D25" s="149"/>
      <c r="E25" s="149"/>
      <c r="F25" s="149"/>
      <c r="G25" s="149"/>
      <c r="H25" s="149"/>
      <c r="I25" s="149"/>
      <c r="J25" s="149"/>
      <c r="K25" s="149"/>
      <c r="L25" s="149"/>
      <c r="M25" s="149"/>
    </row>
    <row r="26" spans="1:13">
      <c r="A26" s="145">
        <v>23</v>
      </c>
      <c r="B26" s="146">
        <v>80.5</v>
      </c>
      <c r="C26" s="139" t="s">
        <v>172</v>
      </c>
      <c r="D26" s="139" t="s">
        <v>189</v>
      </c>
      <c r="E26" s="139" t="s">
        <v>206</v>
      </c>
      <c r="F26" s="139" t="s">
        <v>224</v>
      </c>
      <c r="G26" s="139" t="s">
        <v>241</v>
      </c>
      <c r="H26" s="139" t="s">
        <v>258</v>
      </c>
      <c r="I26" s="139" t="s">
        <v>276</v>
      </c>
      <c r="J26" s="139" t="s">
        <v>294</v>
      </c>
      <c r="K26" s="139" t="s">
        <v>312</v>
      </c>
      <c r="L26" s="139" t="s">
        <v>330</v>
      </c>
      <c r="M26" s="139" t="s">
        <v>348</v>
      </c>
    </row>
    <row r="27" spans="1:13">
      <c r="A27" s="145">
        <v>24</v>
      </c>
      <c r="B27" s="146">
        <v>84</v>
      </c>
      <c r="C27" s="139" t="s">
        <v>173</v>
      </c>
      <c r="D27" s="139" t="s">
        <v>190</v>
      </c>
      <c r="E27" s="139" t="s">
        <v>207</v>
      </c>
      <c r="F27" s="139" t="s">
        <v>225</v>
      </c>
      <c r="G27" s="139" t="s">
        <v>242</v>
      </c>
      <c r="H27" s="139" t="s">
        <v>259</v>
      </c>
      <c r="I27" s="139" t="s">
        <v>277</v>
      </c>
      <c r="J27" s="139" t="s">
        <v>295</v>
      </c>
      <c r="K27" s="139" t="s">
        <v>313</v>
      </c>
      <c r="L27" s="139" t="s">
        <v>331</v>
      </c>
      <c r="M27" s="139" t="s">
        <v>349</v>
      </c>
    </row>
    <row r="28" spans="1:13">
      <c r="A28" s="145">
        <v>25</v>
      </c>
      <c r="B28" s="146">
        <v>87.5</v>
      </c>
      <c r="C28" s="139" t="s">
        <v>174</v>
      </c>
      <c r="D28" s="139" t="s">
        <v>191</v>
      </c>
      <c r="E28" s="139" t="s">
        <v>208</v>
      </c>
      <c r="F28" s="139" t="s">
        <v>226</v>
      </c>
      <c r="G28" s="139" t="s">
        <v>243</v>
      </c>
      <c r="H28" s="139" t="s">
        <v>260</v>
      </c>
      <c r="I28" s="139" t="s">
        <v>278</v>
      </c>
      <c r="J28" s="139" t="s">
        <v>296</v>
      </c>
      <c r="K28" s="139" t="s">
        <v>314</v>
      </c>
      <c r="L28" s="139" t="s">
        <v>332</v>
      </c>
      <c r="M28" s="139" t="s">
        <v>350</v>
      </c>
    </row>
  </sheetData>
  <sheetProtection password="8026" sheet="1" objects="1" scenarios="1"/>
  <mergeCells count="2">
    <mergeCell ref="A2:M3"/>
    <mergeCell ref="A4:M4"/>
  </mergeCells>
  <phoneticPr fontId="0" type="noConversion"/>
  <printOptions horizontalCentered="1" verticalCentered="1"/>
  <pageMargins left="0.59055118110236227" right="0.59055118110236227" top="0.98425196850393704" bottom="0.98425196850393704" header="0.51181102362204722" footer="0.51181102362204722"/>
  <pageSetup paperSize="9" orientation="landscape" horizontalDpi="4294967294"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4</vt:i4>
      </vt:variant>
    </vt:vector>
  </HeadingPairs>
  <TitlesOfParts>
    <vt:vector size="22" baseType="lpstr">
      <vt:lpstr>Protocole</vt:lpstr>
      <vt:lpstr>Vam_Eval</vt:lpstr>
      <vt:lpstr>Programme</vt:lpstr>
      <vt:lpstr>données</vt:lpstr>
      <vt:lpstr>graphiques</vt:lpstr>
      <vt:lpstr>tableau_temps de passage</vt:lpstr>
      <vt:lpstr>Indice Endurance</vt:lpstr>
      <vt:lpstr>Coût Energétique</vt:lpstr>
      <vt:lpstr>Extrapolation et prédiction</vt:lpstr>
      <vt:lpstr>Physio</vt:lpstr>
      <vt:lpstr>ENTRAINEMENT</vt:lpstr>
      <vt:lpstr>Plan 10 km 3séances</vt:lpstr>
      <vt:lpstr>10km 4 séances</vt:lpstr>
      <vt:lpstr>10km 5 séances</vt:lpstr>
      <vt:lpstr>Semi marathon</vt:lpstr>
      <vt:lpstr>Plan marathon</vt:lpstr>
      <vt:lpstr>30-30</vt:lpstr>
      <vt:lpstr>Résultats10km</vt:lpstr>
      <vt:lpstr>'10km 5 séances'!TABLE_6</vt:lpstr>
      <vt:lpstr>'10km 5 séances'!TABLE_7</vt:lpstr>
      <vt:lpstr>'10km 5 séances'!TABLE_8</vt:lpstr>
      <vt:lpstr>'10km 5 séances'!TABLE_9</vt:lpstr>
    </vt:vector>
  </TitlesOfParts>
  <Company>Fechain-Athlétique-Club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Vam Eval de Cazorla</dc:title>
  <dc:subject>Evaluation du Vo2 max et entraînement</dc:subject>
  <dc:creator>Charlet Sylvain/Charles André Coste</dc:creator>
  <cp:lastModifiedBy>gateau2</cp:lastModifiedBy>
  <cp:lastPrinted>2006-08-02T16:50:41Z</cp:lastPrinted>
  <dcterms:created xsi:type="dcterms:W3CDTF">1998-09-20T13:35:50Z</dcterms:created>
  <dcterms:modified xsi:type="dcterms:W3CDTF">2014-10-06T12:15:07Z</dcterms:modified>
</cp:coreProperties>
</file>